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linaric\Documents\Petra\Financijski izvještaji\Financijski izvještaji 2023\II. kvartal\Financijski plan 1.-6.2023\"/>
    </mc:Choice>
  </mc:AlternateContent>
  <bookViews>
    <workbookView xWindow="0" yWindow="0" windowWidth="14040" windowHeight="11295" firstSheet="2" activeTab="3"/>
  </bookViews>
  <sheets>
    <sheet name="Opći dio" sheetId="3" r:id="rId1"/>
    <sheet name="Prihodi ekonomska klasifikacija" sheetId="4" r:id="rId2"/>
    <sheet name="Posebni funkcijski " sheetId="1" r:id="rId3"/>
    <sheet name="Posebni projekt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" l="1"/>
  <c r="G14" i="2" l="1"/>
  <c r="L17" i="2"/>
  <c r="L16" i="2"/>
  <c r="L15" i="2"/>
  <c r="L14" i="2"/>
  <c r="L13" i="2"/>
  <c r="L12" i="2"/>
  <c r="L11" i="2"/>
  <c r="L10" i="2"/>
  <c r="K18" i="2"/>
  <c r="K17" i="2"/>
  <c r="K16" i="2"/>
  <c r="K15" i="2"/>
  <c r="F14" i="2"/>
  <c r="K14" i="2"/>
  <c r="K13" i="2"/>
  <c r="K12" i="2"/>
  <c r="K11" i="2"/>
  <c r="K10" i="2"/>
  <c r="K9" i="2"/>
  <c r="D118" i="1" l="1"/>
  <c r="I18" i="2"/>
  <c r="I13" i="2"/>
  <c r="D155" i="1"/>
  <c r="D156" i="1"/>
  <c r="G151" i="1"/>
  <c r="D151" i="1"/>
  <c r="D152" i="1"/>
  <c r="G156" i="1"/>
  <c r="G154" i="1"/>
  <c r="D154" i="1"/>
  <c r="G135" i="1"/>
  <c r="G116" i="1"/>
  <c r="D116" i="1"/>
  <c r="D115" i="1"/>
  <c r="G115" i="1"/>
  <c r="G114" i="1"/>
  <c r="G113" i="1"/>
  <c r="D114" i="1"/>
  <c r="D113" i="1"/>
  <c r="G111" i="1"/>
  <c r="G110" i="1"/>
  <c r="D111" i="1"/>
  <c r="D110" i="1"/>
  <c r="G108" i="1"/>
  <c r="G107" i="1"/>
  <c r="G106" i="1"/>
  <c r="G105" i="1"/>
  <c r="D108" i="1"/>
  <c r="D107" i="1"/>
  <c r="D106" i="1"/>
  <c r="D105" i="1"/>
  <c r="G103" i="1"/>
  <c r="G102" i="1"/>
  <c r="G101" i="1"/>
  <c r="G100" i="1"/>
  <c r="G99" i="1"/>
  <c r="G98" i="1"/>
  <c r="G97" i="1"/>
  <c r="G96" i="1"/>
  <c r="D96" i="1"/>
  <c r="D97" i="1"/>
  <c r="D98" i="1"/>
  <c r="D99" i="1"/>
  <c r="D100" i="1"/>
  <c r="D101" i="1"/>
  <c r="D102" i="1"/>
  <c r="D103" i="1"/>
  <c r="G94" i="1"/>
  <c r="G93" i="1"/>
  <c r="G92" i="1"/>
  <c r="G91" i="1"/>
  <c r="G90" i="1"/>
  <c r="G89" i="1"/>
  <c r="D94" i="1"/>
  <c r="D93" i="1"/>
  <c r="D92" i="1"/>
  <c r="D91" i="1"/>
  <c r="D90" i="1"/>
  <c r="D89" i="1"/>
  <c r="G87" i="1"/>
  <c r="G86" i="1"/>
  <c r="D86" i="1"/>
  <c r="G60" i="1"/>
  <c r="D60" i="1"/>
  <c r="G49" i="1"/>
  <c r="D48" i="1"/>
  <c r="D49" i="1"/>
  <c r="G48" i="1"/>
  <c r="G46" i="1"/>
  <c r="G45" i="1"/>
  <c r="D45" i="1"/>
  <c r="G42" i="1"/>
  <c r="G43" i="1"/>
  <c r="D43" i="1"/>
  <c r="D42" i="1"/>
  <c r="D41" i="1"/>
  <c r="G41" i="1"/>
  <c r="D32" i="1"/>
  <c r="D33" i="1"/>
  <c r="D34" i="1"/>
  <c r="D35" i="1"/>
  <c r="D36" i="1"/>
  <c r="D37" i="1"/>
  <c r="D38" i="1"/>
  <c r="D39" i="1"/>
  <c r="G39" i="1"/>
  <c r="G38" i="1"/>
  <c r="G37" i="1"/>
  <c r="G36" i="1"/>
  <c r="G35" i="1"/>
  <c r="G34" i="1"/>
  <c r="G33" i="1"/>
  <c r="G32" i="1"/>
  <c r="G27" i="1"/>
  <c r="G25" i="1"/>
  <c r="G26" i="1"/>
  <c r="G28" i="1"/>
  <c r="G29" i="1"/>
  <c r="G30" i="1"/>
  <c r="D21" i="1"/>
  <c r="D23" i="1"/>
  <c r="D22" i="1"/>
  <c r="G22" i="1"/>
  <c r="G23" i="1"/>
  <c r="G21" i="1"/>
  <c r="G19" i="1"/>
  <c r="G17" i="1"/>
  <c r="G13" i="1"/>
  <c r="G14" i="1"/>
  <c r="G15" i="1"/>
  <c r="D13" i="1"/>
  <c r="D14" i="1"/>
  <c r="D15" i="1"/>
  <c r="G10" i="4"/>
  <c r="F10" i="4"/>
  <c r="B3" i="4"/>
  <c r="B4" i="4"/>
  <c r="F7" i="4"/>
  <c r="F8" i="4"/>
  <c r="G60" i="4" l="1"/>
  <c r="G88" i="4"/>
  <c r="G89" i="4"/>
  <c r="G53" i="4" l="1"/>
  <c r="F20" i="4"/>
  <c r="G160" i="1"/>
  <c r="G12" i="1" l="1"/>
  <c r="B16" i="3" l="1"/>
  <c r="E16" i="3"/>
  <c r="D16" i="3"/>
  <c r="C16" i="3"/>
  <c r="G15" i="3"/>
  <c r="F15" i="3"/>
  <c r="G14" i="3"/>
  <c r="F14" i="3"/>
  <c r="E13" i="3"/>
  <c r="D13" i="3"/>
  <c r="C13" i="3"/>
  <c r="B13" i="3"/>
  <c r="B17" i="3" s="1"/>
  <c r="G12" i="3"/>
  <c r="F12" i="3"/>
  <c r="G81" i="4"/>
  <c r="G82" i="4"/>
  <c r="G83" i="4"/>
  <c r="G84" i="4"/>
  <c r="G85" i="4"/>
  <c r="G86" i="4"/>
  <c r="G87" i="4"/>
  <c r="G90" i="4"/>
  <c r="G91" i="4"/>
  <c r="G92" i="4"/>
  <c r="G80" i="4"/>
  <c r="F84" i="4"/>
  <c r="F85" i="4"/>
  <c r="F86" i="4"/>
  <c r="F87" i="4"/>
  <c r="F90" i="4"/>
  <c r="F91" i="4"/>
  <c r="F92" i="4"/>
  <c r="B80" i="4"/>
  <c r="F80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4" i="4"/>
  <c r="G55" i="4"/>
  <c r="G56" i="4"/>
  <c r="G57" i="4"/>
  <c r="G58" i="4"/>
  <c r="G59" i="4"/>
  <c r="G61" i="4"/>
  <c r="G62" i="4"/>
  <c r="G63" i="4"/>
  <c r="G64" i="4"/>
  <c r="G65" i="4"/>
  <c r="G66" i="4"/>
  <c r="G67" i="4"/>
  <c r="G68" i="4"/>
  <c r="G69" i="4"/>
  <c r="G70" i="4"/>
  <c r="G71" i="4"/>
  <c r="G75" i="4"/>
  <c r="G76" i="4"/>
  <c r="G77" i="4"/>
  <c r="G7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3" i="4"/>
  <c r="F65" i="4"/>
  <c r="F66" i="4"/>
  <c r="F67" i="4"/>
  <c r="F68" i="4"/>
  <c r="F69" i="4"/>
  <c r="F70" i="4"/>
  <c r="F75" i="4"/>
  <c r="F76" i="4"/>
  <c r="F77" i="4"/>
  <c r="F78" i="4"/>
  <c r="G28" i="4"/>
  <c r="F28" i="4"/>
  <c r="G4" i="4"/>
  <c r="G9" i="4"/>
  <c r="G15" i="4"/>
  <c r="G16" i="4"/>
  <c r="G17" i="4"/>
  <c r="G18" i="4"/>
  <c r="G19" i="4"/>
  <c r="G20" i="4"/>
  <c r="G23" i="4"/>
  <c r="G24" i="4"/>
  <c r="G25" i="4"/>
  <c r="F4" i="4"/>
  <c r="F5" i="4"/>
  <c r="F6" i="4"/>
  <c r="F9" i="4"/>
  <c r="F11" i="4"/>
  <c r="F15" i="4"/>
  <c r="F16" i="4"/>
  <c r="F17" i="4"/>
  <c r="F18" i="4"/>
  <c r="F19" i="4"/>
  <c r="F21" i="4"/>
  <c r="F22" i="4"/>
  <c r="F23" i="4"/>
  <c r="F24" i="4"/>
  <c r="F25" i="4"/>
  <c r="F26" i="4"/>
  <c r="G3" i="4"/>
  <c r="B60" i="4"/>
  <c r="F3" i="4"/>
  <c r="B5" i="4"/>
  <c r="B18" i="4"/>
  <c r="F16" i="3" l="1"/>
  <c r="G16" i="3"/>
  <c r="G13" i="3"/>
  <c r="E17" i="3"/>
  <c r="F13" i="3"/>
  <c r="C30" i="4"/>
  <c r="D153" i="1" l="1"/>
  <c r="D119" i="1"/>
  <c r="D83" i="1"/>
  <c r="D84" i="1"/>
  <c r="D85" i="1"/>
  <c r="D88" i="1"/>
  <c r="D95" i="1"/>
  <c r="D104" i="1"/>
  <c r="D109" i="1"/>
  <c r="D112" i="1"/>
  <c r="D53" i="1"/>
  <c r="D47" i="1"/>
  <c r="H16" i="2"/>
  <c r="F16" i="2"/>
  <c r="H14" i="2"/>
  <c r="F13" i="2"/>
  <c r="H9" i="2"/>
  <c r="F9" i="2"/>
  <c r="D17" i="2"/>
  <c r="D16" i="2"/>
  <c r="D15" i="2"/>
  <c r="D14" i="2"/>
  <c r="D13" i="2"/>
  <c r="D12" i="2"/>
  <c r="D11" i="2"/>
  <c r="D10" i="2"/>
  <c r="D9" i="2"/>
  <c r="D18" i="2" s="1"/>
  <c r="C17" i="2"/>
  <c r="C16" i="2"/>
  <c r="C15" i="2"/>
  <c r="C14" i="2"/>
  <c r="C13" i="2"/>
  <c r="C12" i="2"/>
  <c r="C11" i="2"/>
  <c r="C10" i="2"/>
  <c r="C9" i="2"/>
  <c r="D52" i="1"/>
  <c r="D51" i="1"/>
  <c r="D40" i="1"/>
  <c r="D31" i="1"/>
  <c r="D20" i="1"/>
  <c r="D18" i="1"/>
  <c r="D16" i="1"/>
  <c r="D12" i="1"/>
  <c r="J18" i="2"/>
  <c r="C67" i="4"/>
  <c r="C62" i="4"/>
  <c r="C59" i="4"/>
  <c r="C58" i="4"/>
  <c r="C57" i="4"/>
  <c r="C51" i="4"/>
  <c r="C49" i="4"/>
  <c r="C48" i="4"/>
  <c r="C46" i="4"/>
  <c r="C40" i="4"/>
  <c r="C18" i="2" l="1"/>
  <c r="G16" i="1"/>
  <c r="G18" i="1"/>
  <c r="G20" i="1"/>
  <c r="G24" i="1"/>
  <c r="G31" i="1"/>
  <c r="G40" i="1"/>
  <c r="G44" i="1"/>
  <c r="G47" i="1"/>
  <c r="G84" i="1"/>
  <c r="G119" i="1"/>
  <c r="G83" i="1"/>
  <c r="G85" i="1"/>
  <c r="G88" i="1"/>
  <c r="G95" i="1"/>
  <c r="G104" i="1"/>
  <c r="G109" i="1"/>
  <c r="G112" i="1"/>
  <c r="G82" i="1"/>
  <c r="G132" i="1"/>
  <c r="G150" i="1"/>
  <c r="G153" i="1"/>
  <c r="G155" i="1"/>
  <c r="G157" i="1"/>
  <c r="G159" i="1"/>
  <c r="G147" i="1"/>
  <c r="G172" i="1"/>
  <c r="G173" i="1"/>
  <c r="G170" i="1"/>
  <c r="G118" i="1" l="1"/>
  <c r="D150" i="1" l="1"/>
  <c r="D157" i="1"/>
  <c r="D159" i="1"/>
  <c r="D160" i="1"/>
  <c r="D147" i="1"/>
  <c r="D82" i="1"/>
  <c r="G18" i="2" l="1"/>
  <c r="H18" i="2"/>
  <c r="F18" i="2"/>
  <c r="C134" i="1" l="1"/>
  <c r="D134" i="1"/>
  <c r="E134" i="1"/>
  <c r="G134" i="1" l="1"/>
  <c r="G52" i="1"/>
  <c r="G51" i="1"/>
  <c r="G53" i="1" l="1"/>
</calcChain>
</file>

<file path=xl/sharedStrings.xml><?xml version="1.0" encoding="utf-8"?>
<sst xmlns="http://schemas.openxmlformats.org/spreadsheetml/2006/main" count="386" uniqueCount="260">
  <si>
    <t>Podskupina iz Računskog plana</t>
  </si>
  <si>
    <t>Opis</t>
  </si>
  <si>
    <t>Izvorni plan</t>
  </si>
  <si>
    <t>Izmjene plana</t>
  </si>
  <si>
    <t>Tekući plan</t>
  </si>
  <si>
    <t>Izvršenje za izvještajno razdoblje</t>
  </si>
  <si>
    <t>Plaće</t>
  </si>
  <si>
    <t>Ostali rashodi za zaposlene</t>
  </si>
  <si>
    <t>Doprinosi na plaće</t>
  </si>
  <si>
    <t>Naknade troškova zaposlenima (ne uključuju naknade za prijevoz na posao)</t>
  </si>
  <si>
    <t>Rashodi za materijal i energiju</t>
  </si>
  <si>
    <t>Rashodi za usluge</t>
  </si>
  <si>
    <t>Ostali nespomenuti rashodi poslovanja</t>
  </si>
  <si>
    <t>Ostali financijski rashodi</t>
  </si>
  <si>
    <t>Ostale naknade građanima i kućanstvima iz proračuna</t>
  </si>
  <si>
    <t>Izvor 11 - Opći prihodi i primici (proračunska sredstva, riznica)</t>
  </si>
  <si>
    <t xml:space="preserve"> u kunama (bez lp.)</t>
  </si>
  <si>
    <t>Izvor financiranja:</t>
  </si>
  <si>
    <t>Aktivnost:</t>
  </si>
  <si>
    <t xml:space="preserve">Naknade troškova zaposlenima </t>
  </si>
  <si>
    <t>Izvor 31- vlastita sredstva</t>
  </si>
  <si>
    <r>
      <rPr>
        <b/>
        <sz val="11"/>
        <color theme="1"/>
        <rFont val="Times New Roman"/>
        <family val="1"/>
        <charset val="238"/>
      </rPr>
      <t xml:space="preserve">A 790010 - </t>
    </r>
    <r>
      <rPr>
        <b/>
        <sz val="8"/>
        <color theme="1"/>
        <rFont val="Times New Roman"/>
        <family val="1"/>
        <charset val="238"/>
      </rPr>
      <t>Skrb o osobama s tjelesnim, intelekt. i osjetilnim oštećenjima (ostali izvori finan.)</t>
    </r>
  </si>
  <si>
    <t>Postrojenja i oprema</t>
  </si>
  <si>
    <t>Vlastita sredstva se mogu izvršavati iznad plana, odnosno do visine naplaćenih prihoda.</t>
  </si>
  <si>
    <t>Rashodi za zaposlene</t>
  </si>
  <si>
    <t>Materijalni rashodi, financijski rahodi i naknade</t>
  </si>
  <si>
    <t>32+34+37</t>
  </si>
  <si>
    <t>Izvor 43- prihodi za posebne namjene (participacije)</t>
  </si>
  <si>
    <t>A 734914 - Skrb o osobama s tjel. i intel. oštećenjima</t>
  </si>
  <si>
    <t>Prihodi od posebnih namjena se mogu izvršavati iznad plana, odnosno do visine naplaćenih prihoda.</t>
  </si>
  <si>
    <t>K 618391 Hitna intervencija u sustavu socijalne skrbi</t>
  </si>
  <si>
    <t>rashodi</t>
  </si>
  <si>
    <t>Rashodi</t>
  </si>
  <si>
    <t>rashodi poslovanja</t>
  </si>
  <si>
    <t>rashodi za nabavu nefinancijske imovine</t>
  </si>
  <si>
    <r>
      <t>Nadležno tijelo:</t>
    </r>
    <r>
      <rPr>
        <sz val="10.5"/>
        <color rgb="FF333333"/>
        <rFont val="Times New Roman"/>
        <family val="1"/>
        <charset val="238"/>
      </rPr>
      <t> MINISTARSTVO REGIONALNOGA RAZVOJA I FONDOVA EUROPSKE UNIJE</t>
    </r>
  </si>
  <si>
    <t>Aktivnost 791011, izvor financiranja 563</t>
  </si>
  <si>
    <t>Financijski plan projekta</t>
  </si>
  <si>
    <t>Rn.br</t>
  </si>
  <si>
    <t>Predmet nabave</t>
  </si>
  <si>
    <t>Planirani iznos s PDV-om</t>
  </si>
  <si>
    <t>1.</t>
  </si>
  <si>
    <t>Informatička i komunikacijska oprema</t>
  </si>
  <si>
    <t>Pomagala i ostala specijalizirana oprema</t>
  </si>
  <si>
    <t>Namještaj, tehnička oprema i bijela tehnika</t>
  </si>
  <si>
    <t>Prijenosni pianino</t>
  </si>
  <si>
    <t>Vozila</t>
  </si>
  <si>
    <t>Upravljanje projektom</t>
  </si>
  <si>
    <t>Revizija</t>
  </si>
  <si>
    <t>Materijali za promidžbu i vidljivost</t>
  </si>
  <si>
    <t>Konferencija - Catering</t>
  </si>
  <si>
    <t>2.</t>
  </si>
  <si>
    <t>3.</t>
  </si>
  <si>
    <t>4.</t>
  </si>
  <si>
    <t>5.</t>
  </si>
  <si>
    <t>6.</t>
  </si>
  <si>
    <t>7.</t>
  </si>
  <si>
    <t>8.</t>
  </si>
  <si>
    <t>9.</t>
  </si>
  <si>
    <t>UKUPNO</t>
  </si>
  <si>
    <t>Realizirano u 2020.</t>
  </si>
  <si>
    <t>Realizirano u 2021.</t>
  </si>
  <si>
    <t>Ugovoreni iznos</t>
  </si>
  <si>
    <t>Proveden postupak nabave</t>
  </si>
  <si>
    <t>DA (2021.)</t>
  </si>
  <si>
    <t>DA (2020.)</t>
  </si>
  <si>
    <t>Izmjenjen plan s PDV-om</t>
  </si>
  <si>
    <t>Izvor 52- pomoći</t>
  </si>
  <si>
    <t>Pomoći prorač.koris.iz prorač.koji im nije nadležan</t>
  </si>
  <si>
    <t>Prijenosi između proračunskih korisnika istog proračuna</t>
  </si>
  <si>
    <t>Rashode za zaposlene (311,312,313) planira nadležno Ministarstvo. Centar u trenutku izrade financijskog plana prema uputama planira plaće prema broju zaposlenih na određen dan, te ne smije povećavati broj zaposlenih. Novi radnici zapošljavaju se po posebnim suglasnostima nadležnog ministarstva neovisno o tada donesenom planu Centra. Također, svi ostali rashodi za zaposlene isplaćuju se temeljem TKU, zakona i ostalih važećih propisa odobrenih od ministarstva.</t>
  </si>
  <si>
    <t>DONOS</t>
  </si>
  <si>
    <t>ODNOS</t>
  </si>
  <si>
    <t>PRIHOD</t>
  </si>
  <si>
    <t>Izvor 53- inozemne pomoći</t>
  </si>
  <si>
    <t>Financijski rashodi</t>
  </si>
  <si>
    <t>Izvor 61- donacije</t>
  </si>
  <si>
    <t>Materijalni rashodi</t>
  </si>
  <si>
    <t>indeks (6/5*100)</t>
  </si>
  <si>
    <t>DA (2022.)</t>
  </si>
  <si>
    <t>I. OPĆI DIO KONSOLIDIRANOG PRORAČUNA za razdoblje od 01.01.2023. do 30.06.2023.</t>
  </si>
  <si>
    <t>PRIHODI I RASHODI 2023.PREMA EKONOMSKOJ KLASIFIKACIJI</t>
  </si>
  <si>
    <t>A. RAČUN PRIHODA I RASHODA</t>
  </si>
  <si>
    <t>Tekući plan 2022 (3.)</t>
  </si>
  <si>
    <t>Ostvarenje 30.06.2022 (4.)</t>
  </si>
  <si>
    <t>Indeks 4./1. (5.)</t>
  </si>
  <si>
    <t>Indeks 4./3. (6.)</t>
  </si>
  <si>
    <t>Izvorni plan   2023 (2.)</t>
  </si>
  <si>
    <t>Ostvarenje preth. god.  30.06.2022.(1)</t>
  </si>
  <si>
    <t>6 PRIHODI POSLOVANJA</t>
  </si>
  <si>
    <t>63 POTPORE</t>
  </si>
  <si>
    <t>632 POTPORE MEĐUNARODNIH ORGANIZACIJA</t>
  </si>
  <si>
    <t>6323 Tekuće pomoći od institucija EU</t>
  </si>
  <si>
    <t>639 PRIJENOSI IZMEĐU PRORAČUNSKIH KORISNIKA ISTOG PRORAČUNA</t>
  </si>
  <si>
    <t>6391 Tekući prijenosi između korisnika istog proračuna</t>
  </si>
  <si>
    <t>6393 Tekući prijenosi između korisnika istog proračuna temeljem EU sredstava</t>
  </si>
  <si>
    <t>64 PRIHODI OD IMOVINE</t>
  </si>
  <si>
    <t>641 PRIHODI OD FINANCIJSKE IMOVINE</t>
  </si>
  <si>
    <t>6413 Kamate na depozite po viđenju</t>
  </si>
  <si>
    <t>65 PRIHODI OD ADMINISTRATIVNIH PRISTOJBI</t>
  </si>
  <si>
    <t>652 PRIHODI PO POSEBNIM PROPISIMA</t>
  </si>
  <si>
    <t>6526 Ostali nespomenuti prihodi</t>
  </si>
  <si>
    <t>66 OSTALI PRIHODI</t>
  </si>
  <si>
    <t>661 VLASTITI PRIHODI</t>
  </si>
  <si>
    <t>6615 Prihodi od pruženih usluga</t>
  </si>
  <si>
    <t>663 DONACIJE</t>
  </si>
  <si>
    <t>6631 Tekuće donacije</t>
  </si>
  <si>
    <t>67 PRIHODI IZ PRORAČUNA</t>
  </si>
  <si>
    <t xml:space="preserve">671 PRIHODI IZ PRORAČUNA ZA FINANCIRANJE REDOVNE DJELATNOSTI </t>
  </si>
  <si>
    <t>6711 Prihodi za financiranje rashoda poslovanje</t>
  </si>
  <si>
    <t>6712 Prihodi za financiranje nabave nefinancijske imovine</t>
  </si>
  <si>
    <t>3 RASHODI POSLOVANJA</t>
  </si>
  <si>
    <t>31 RASHODI ZA ZAPOSLENE</t>
  </si>
  <si>
    <t>311 PLAĆE</t>
  </si>
  <si>
    <t>3111 Plaće za redovan rad</t>
  </si>
  <si>
    <t>3113 Plaće za prekovremeni rad</t>
  </si>
  <si>
    <t>3114 Plaće za posebe uvjete rada</t>
  </si>
  <si>
    <t>312 OSTALI RASHODI ZA ZAPOSLENE</t>
  </si>
  <si>
    <t>3121 Ostali rashodi za zaposlene</t>
  </si>
  <si>
    <t>313 DOPRINOSI NA PLAĆE</t>
  </si>
  <si>
    <t>3132 Doprinosi za zdravstveno odiguranje</t>
  </si>
  <si>
    <t>32 MATERIJALNI RASHODI</t>
  </si>
  <si>
    <t>321 NAKNADE TROŠKOVA ZAPOSLENIMA</t>
  </si>
  <si>
    <t>3211 Službena putovanja</t>
  </si>
  <si>
    <t>3212 Naknade za prijevoz, rad na terenu</t>
  </si>
  <si>
    <t>3213 Stručno usavršavanje</t>
  </si>
  <si>
    <t>322 RASHODI ZA MATERIJAL I ENERGIJU</t>
  </si>
  <si>
    <t>3221 Uredski materijal i ostali mat. Rashodi</t>
  </si>
  <si>
    <t>3222 Materijal i sirovine</t>
  </si>
  <si>
    <t>3223 Energija</t>
  </si>
  <si>
    <t>3224 Mat. I djelovi za tekuće i inv. Održavanje</t>
  </si>
  <si>
    <t>3225 Sitni inventar i auto gume</t>
  </si>
  <si>
    <t>3227 Službena, radna i zaštitna odjeća</t>
  </si>
  <si>
    <t>323 RASHODI ZA USLUGE</t>
  </si>
  <si>
    <t>3231 Usluge telefona, pošte i prijevoza</t>
  </si>
  <si>
    <t>3232 Usluge tekućeg i inv.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</si>
  <si>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</si>
  <si>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</si>
  <si>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</si>
  <si>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</si>
  <si>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</si>
  <si>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</si>
  <si>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</si>
  <si>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</si>
  <si>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</si>
  <si>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</si>
  <si>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</t>
  </si>
  <si>
    <t>34 FINANCIJSKI RASHODI</t>
  </si>
  <si>
    <t>343 OSTALI FINANCIJSKI RASHODI</t>
  </si>
  <si>
    <t>3431 Bankarske usluge i usluge platnog prometa</t>
  </si>
  <si>
    <t>369 PRIJENOSI IZMEĐU PRORAČ. KORISNIKA</t>
  </si>
  <si>
    <t>36 POMOĆI DANE U INOZ. I UNUTAR OPĆEG PRORAČUNA</t>
  </si>
  <si>
    <t>3691 Tekući prijenosi između prorač. Korisnika istog proračuna</t>
  </si>
  <si>
    <t>37 NAKNADE GRAĐANIMA I KUĆANSTVIMA NA TEMELJU OSIGURANJA I DR. NAKNADE</t>
  </si>
  <si>
    <t>372 OSTALE NAKNADE GAĐANIMA I KUĆANSTVIMA IZ PRORAČUNA</t>
  </si>
  <si>
    <t>3721 Naknade kućanstvima i građanima u novcu</t>
  </si>
  <si>
    <t>3722 Naknade građanima i kućanstvima u naravi</t>
  </si>
  <si>
    <t>4 RASHODI ZA NABAVU NEFINACIJSKE IMOVINE</t>
  </si>
  <si>
    <t>41 RASHODI ZA NABAVU NEPRIZVEDENE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</si>
  <si>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</si>
  <si>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</si>
  <si>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</si>
  <si>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</si>
  <si>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</si>
  <si>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4227 Uređaji, strojevi i oprema za ostale namjene</t>
  </si>
  <si>
    <t>423 PRIJEVOZNA SREDSTVA</t>
  </si>
  <si>
    <t>4231 Prijevozna sredstva u cestovnom prometu</t>
  </si>
  <si>
    <t>45 RASHODI ZA DODATNA ULAGANJA NA NEFINANCIJSKOJ IMOVINI</t>
  </si>
  <si>
    <t>4511 Dodatna ulaganja na građevinskim objektima</t>
  </si>
  <si>
    <t>451 DODATNA ULAGANJA NA GRAĐEVINSKIM OBJEKTIMA</t>
  </si>
  <si>
    <t xml:space="preserve">3291 Naknade za rad predstavničkih i izvršnih tjela </t>
  </si>
  <si>
    <t>3295 Pristojbe i naknade</t>
  </si>
  <si>
    <t>3299 Ostali nespomenuti rashodi poslovanja</t>
  </si>
  <si>
    <t>3433 zatezne kamate</t>
  </si>
  <si>
    <t>3434 Ostali nespomenuti financijski rashodi</t>
  </si>
  <si>
    <t>,</t>
  </si>
  <si>
    <t>Nematerjalna imovina</t>
  </si>
  <si>
    <t xml:space="preserve"> u eurima</t>
  </si>
  <si>
    <t>Prijenosi između prorač. Korisnika</t>
  </si>
  <si>
    <t>Realizirano u 2022.</t>
  </si>
  <si>
    <t>Realizirano u 2023.</t>
  </si>
  <si>
    <r>
      <t xml:space="preserve">Planirani prihodi od participacija za 2023. iznose 6238,00 eura, a ostvareni iznose </t>
    </r>
    <r>
      <rPr>
        <b/>
        <sz val="11"/>
        <color theme="1"/>
        <rFont val="Times New Roman"/>
        <family val="1"/>
        <charset val="238"/>
      </rPr>
      <t>3.038,51 euro</t>
    </r>
    <r>
      <rPr>
        <sz val="11"/>
        <color theme="1"/>
        <rFont val="Times New Roman"/>
        <family val="1"/>
        <charset val="238"/>
      </rPr>
      <t xml:space="preserve">. </t>
    </r>
  </si>
  <si>
    <r>
      <t xml:space="preserve">Trajanje projekta: </t>
    </r>
    <r>
      <rPr>
        <i/>
        <sz val="10.5"/>
        <color rgb="FF333333"/>
        <rFont val="Times New Roman"/>
        <family val="1"/>
        <charset val="238"/>
      </rPr>
      <t>01. srpnja 2020. - 30. travnja 2022.</t>
    </r>
  </si>
  <si>
    <t>II. POSEBNI DIO</t>
  </si>
  <si>
    <t>Polugodišnji izvještaj o izvršenju financijskog plana 2022.prema programskoj i ekonomskoj klasifikaciji te izvorima financiranja Centra za odgoj i obrazovanje Vinko Bek</t>
  </si>
  <si>
    <t>POLUGODIŠNJI  IZVJEŠTAJ O IZVRŠENJU FINANCIJSKOG PLANA ZA 2022. GODINU</t>
  </si>
  <si>
    <t xml:space="preserve">I. OPĆI DIO  </t>
  </si>
  <si>
    <t>Oznaka</t>
  </si>
  <si>
    <t>Ostvarenje/Izvršenje 2021. (1)</t>
  </si>
  <si>
    <t>Izvorni plan -(2.)</t>
  </si>
  <si>
    <t>Tekući plan -(3.)</t>
  </si>
  <si>
    <t>Ostvarenje/Izvršenje  2022.(4.)</t>
  </si>
  <si>
    <t>6 Prihodi poslovanja</t>
  </si>
  <si>
    <t xml:space="preserve"> PRIHODI UKUPNO</t>
  </si>
  <si>
    <t>3 Rashodi poslovanja</t>
  </si>
  <si>
    <t>4 Rashodi za nabavu nefinancijske imovine</t>
  </si>
  <si>
    <t>RASHODI UKUPNO</t>
  </si>
  <si>
    <t>Razlika - višak/manjak</t>
  </si>
  <si>
    <t>B. RAČUN FINANCIRANJA</t>
  </si>
  <si>
    <t>Izvorni plan (2.)</t>
  </si>
  <si>
    <t>Tekući plan (3.)</t>
  </si>
  <si>
    <t>Neto zaduživanje/financiranje</t>
  </si>
  <si>
    <t>C. RASPOLOŽIVA SREDSTVA IZ PRETHODNE GODINE</t>
  </si>
  <si>
    <t>Višak/manjak iz prethodnih godina</t>
  </si>
  <si>
    <t>Višak/manjak+neto financiranje+raspoloživa sredstva iz prethodnih godina</t>
  </si>
  <si>
    <t>Ostvarenje/Izvršenje 2022. (1)</t>
  </si>
  <si>
    <t>Polugodišnji Financijski plan Centra za odgoj i obrazovanje Vinko Bek za 2023. godinu ostvaren je kako slijedi:</t>
  </si>
  <si>
    <t>Ostvarenje/Izvršenje 2022. GOD.(1)</t>
  </si>
  <si>
    <t>Ostvarenje/Izvršenje  2023.(4.)</t>
  </si>
  <si>
    <t>Iz izvora 11 K618391 ministarstvo je financiralo opremanje dislociranje jedinice Split u iznosu 13.240,00 eura i kupnju profesionalne perilice rublja u iznosu od 16.346,25 eura</t>
  </si>
  <si>
    <t>636 POMOĆI PRORAČ. KORISNIKA IZ KOJEG PRORAČ. KOJI IM NIJE NADLEŽAN</t>
  </si>
  <si>
    <t>6361 Tekuće pomoći iz proračuna koji im nije nadležan</t>
  </si>
  <si>
    <t>Plaće za redovan rad</t>
  </si>
  <si>
    <t>Plaće za prekovremeni rad</t>
  </si>
  <si>
    <t>Plaće za posebne uvjete rada</t>
  </si>
  <si>
    <t>indeks (7/6*100)</t>
  </si>
  <si>
    <t>Doprinosi za zdravstveno osiguranje</t>
  </si>
  <si>
    <t>Službena putovanja</t>
  </si>
  <si>
    <t>Naknade za prijevoz, za rad na terenu i odvojeni život</t>
  </si>
  <si>
    <t>Stručno usavršavanje zaposlenika</t>
  </si>
  <si>
    <t>Materijal i sirovine</t>
  </si>
  <si>
    <t>Službena, radna i zaštitna odjeća i obuća</t>
  </si>
  <si>
    <t>Energija</t>
  </si>
  <si>
    <t>Mat. Za tekuće i investicijsko održavanje</t>
  </si>
  <si>
    <t>Sitni inventar i auto gume</t>
  </si>
  <si>
    <t>Usluge telefona, pošte i prijevoza</t>
  </si>
  <si>
    <t xml:space="preserve"> Usluge tekućeg i inv. Održavanja</t>
  </si>
  <si>
    <t xml:space="preserve"> Usluge promidžbe i informiranja</t>
  </si>
  <si>
    <t xml:space="preserve"> Komunalne usluge</t>
  </si>
  <si>
    <t>Zakupnine i najamnine</t>
  </si>
  <si>
    <t xml:space="preserve"> Zdravstvene i veterinarske usluge</t>
  </si>
  <si>
    <t>Intelektualne i osobne usluge</t>
  </si>
  <si>
    <t>Računalne usluge</t>
  </si>
  <si>
    <t>Ostale nespomenute usluge</t>
  </si>
  <si>
    <t xml:space="preserve"> Naknade za rad predstavničkih i izvršnih tjela </t>
  </si>
  <si>
    <t xml:space="preserve"> Premije osiguranja</t>
  </si>
  <si>
    <t xml:space="preserve"> Ostali nespomenuti rashodi poslovanja</t>
  </si>
  <si>
    <t xml:space="preserve"> Bankarske usluge i usluge platnog prometa</t>
  </si>
  <si>
    <t>Zatezne kamate</t>
  </si>
  <si>
    <t>Naknade kućanstvima i građanima u novcu</t>
  </si>
  <si>
    <t>Naknade građanima i kućanstvima u naravi</t>
  </si>
  <si>
    <t>Prihodi</t>
  </si>
  <si>
    <t>Prihodi iz proračuna za financ. red. Djelatnosti prorač. Korisnika</t>
  </si>
  <si>
    <t>Premije osiguranja</t>
  </si>
  <si>
    <t>Reprezentacija</t>
  </si>
  <si>
    <t>Članarine</t>
  </si>
  <si>
    <t>Ostali nespomenuti fin. Rashodi</t>
  </si>
  <si>
    <t>Dodatna ulaganja na nefin. Imovini</t>
  </si>
  <si>
    <t>Računala i računalna oprema</t>
  </si>
  <si>
    <t>Oprema</t>
  </si>
  <si>
    <t>Dodatna ulaganja na nefin. imovini</t>
  </si>
  <si>
    <t>Prihodi po posebnim propisima</t>
  </si>
  <si>
    <t>Doprinosi ZO pripravnici</t>
  </si>
  <si>
    <t>Naknade troškova zaposlenima</t>
  </si>
  <si>
    <t>Prijenosi između proračunskih korisnika istog proračuna temeljem EU sredstava</t>
  </si>
  <si>
    <t>Prihodi poslovanja</t>
  </si>
  <si>
    <t>Rashodi za materijal u energiju</t>
  </si>
  <si>
    <t>nije realizirano</t>
  </si>
  <si>
    <t>Ukupno realizirano</t>
  </si>
  <si>
    <t>Ukupno ugovoreni iznos iznosi 23.744,94 eur. Iz EU fonda financirati će se iznos od 22.557,69, preostali dio od 1187,25 eur financirati će se iz ostalih izvora financiranja (korekcija 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</si>
</sst>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.5"/>
      <color rgb="FF333333"/>
      <name val="Times New Roman"/>
      <family val="1"/>
      <charset val="238"/>
    </font>
    <font>
      <sz val="10.5"/>
      <color rgb="FF333333"/>
      <name val="Times New Roman"/>
      <family val="1"/>
      <charset val="238"/>
    </font>
    <font>
      <i/>
      <sz val="10.5"/>
      <color rgb="FF333333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rgb="FF000000"/>
      <name val="Verdana"/>
      <family val="2"/>
      <charset val="238"/>
    </font>
    <font>
      <b/>
      <sz val="9"/>
      <color rgb="FF000000"/>
      <name val="Calibri Light"/>
      <family val="2"/>
      <charset val="238"/>
    </font>
    <font>
      <b/>
      <sz val="7"/>
      <color rgb="FF000000"/>
      <name val="Arial"/>
      <family val="2"/>
      <charset val="238"/>
    </font>
    <font>
      <b/>
      <sz val="8"/>
      <color rgb="FF000000"/>
      <name val="Calibri Light"/>
      <family val="2"/>
      <charset val="238"/>
    </font>
    <font>
      <sz val="9"/>
      <color rgb="FF000000"/>
      <name val="Calibri Light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name val="Calibri"/>
      <family val="2"/>
      <charset val="238"/>
      <scheme val="minor"/>
    </font>
    <font>
      <b/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3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3" fontId="2" fillId="0" borderId="7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Fill="1"/>
    <xf numFmtId="0" fontId="8" fillId="0" borderId="0" xfId="0" applyFont="1" applyFill="1" applyBorder="1" applyAlignment="1">
      <alignment horizontal="right" vertical="center" wrapText="1"/>
    </xf>
    <xf numFmtId="4" fontId="5" fillId="0" borderId="0" xfId="0" applyNumberFormat="1" applyFont="1"/>
    <xf numFmtId="0" fontId="15" fillId="0" borderId="0" xfId="0" applyFont="1" applyAlignment="1">
      <alignment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wrapText="1"/>
    </xf>
    <xf numFmtId="0" fontId="18" fillId="0" borderId="7" xfId="0" applyFont="1" applyBorder="1"/>
    <xf numFmtId="4" fontId="19" fillId="3" borderId="7" xfId="0" applyNumberFormat="1" applyFont="1" applyFill="1" applyBorder="1" applyAlignment="1">
      <alignment vertical="center" wrapText="1"/>
    </xf>
    <xf numFmtId="4" fontId="19" fillId="3" borderId="7" xfId="0" applyNumberFormat="1" applyFont="1" applyFill="1" applyBorder="1" applyAlignment="1">
      <alignment horizontal="right" vertical="center" wrapText="1"/>
    </xf>
    <xf numFmtId="4" fontId="18" fillId="0" borderId="7" xfId="0" applyNumberFormat="1" applyFont="1" applyBorder="1"/>
    <xf numFmtId="0" fontId="19" fillId="3" borderId="7" xfId="0" applyFont="1" applyFill="1" applyBorder="1" applyAlignment="1">
      <alignment vertical="center" wrapText="1"/>
    </xf>
    <xf numFmtId="0" fontId="5" fillId="2" borderId="0" xfId="0" applyFont="1" applyFill="1" applyAlignment="1"/>
    <xf numFmtId="0" fontId="1" fillId="2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2" fontId="8" fillId="0" borderId="5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2" fontId="13" fillId="0" borderId="5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3" fillId="0" borderId="0" xfId="0" applyFont="1"/>
    <xf numFmtId="1" fontId="8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0" fillId="0" borderId="0" xfId="0" applyFont="1" applyAlignment="1">
      <alignment horizontal="left" wrapText="1"/>
    </xf>
    <xf numFmtId="0" fontId="31" fillId="0" borderId="0" xfId="0" applyFont="1" applyAlignment="1">
      <alignment horizontal="left" indent="1"/>
    </xf>
    <xf numFmtId="0" fontId="33" fillId="0" borderId="11" xfId="0" applyFont="1" applyBorder="1" applyAlignment="1">
      <alignment horizontal="center" vertical="center" wrapText="1"/>
    </xf>
    <xf numFmtId="0" fontId="34" fillId="3" borderId="15" xfId="0" applyFont="1" applyFill="1" applyBorder="1" applyAlignment="1">
      <alignment horizontal="left" wrapText="1"/>
    </xf>
    <xf numFmtId="4" fontId="34" fillId="3" borderId="15" xfId="0" applyNumberFormat="1" applyFont="1" applyFill="1" applyBorder="1" applyAlignment="1">
      <alignment horizontal="right" wrapText="1" indent="1"/>
    </xf>
    <xf numFmtId="4" fontId="35" fillId="3" borderId="15" xfId="0" applyNumberFormat="1" applyFont="1" applyFill="1" applyBorder="1" applyAlignment="1">
      <alignment horizontal="right" wrapText="1" indent="1"/>
    </xf>
    <xf numFmtId="4" fontId="34" fillId="3" borderId="15" xfId="0" applyNumberFormat="1" applyFont="1" applyFill="1" applyBorder="1" applyAlignment="1">
      <alignment horizontal="left" wrapText="1" indent="1"/>
    </xf>
    <xf numFmtId="0" fontId="34" fillId="3" borderId="18" xfId="0" applyFont="1" applyFill="1" applyBorder="1" applyAlignment="1">
      <alignment horizontal="left" wrapText="1"/>
    </xf>
    <xf numFmtId="4" fontId="34" fillId="3" borderId="19" xfId="0" applyNumberFormat="1" applyFont="1" applyFill="1" applyBorder="1" applyAlignment="1">
      <alignment horizontal="right" wrapText="1" indent="1"/>
    </xf>
    <xf numFmtId="0" fontId="31" fillId="0" borderId="0" xfId="0" applyFont="1" applyAlignment="1">
      <alignment horizontal="left" wrapText="1"/>
    </xf>
    <xf numFmtId="0" fontId="34" fillId="3" borderId="19" xfId="0" applyFont="1" applyFill="1" applyBorder="1" applyAlignment="1">
      <alignment horizontal="left" wrapText="1" indent="1"/>
    </xf>
    <xf numFmtId="0" fontId="31" fillId="0" borderId="20" xfId="0" applyFont="1" applyBorder="1" applyAlignment="1">
      <alignment horizontal="left" wrapText="1"/>
    </xf>
    <xf numFmtId="4" fontId="34" fillId="3" borderId="21" xfId="0" applyNumberFormat="1" applyFont="1" applyFill="1" applyBorder="1" applyAlignment="1">
      <alignment horizontal="right" wrapText="1" indent="1"/>
    </xf>
    <xf numFmtId="4" fontId="34" fillId="3" borderId="22" xfId="0" applyNumberFormat="1" applyFont="1" applyFill="1" applyBorder="1" applyAlignment="1">
      <alignment horizontal="right" wrapText="1" indent="1"/>
    </xf>
    <xf numFmtId="0" fontId="36" fillId="3" borderId="15" xfId="0" applyFont="1" applyFill="1" applyBorder="1" applyAlignment="1">
      <alignment horizontal="left" wrapText="1"/>
    </xf>
    <xf numFmtId="4" fontId="36" fillId="3" borderId="15" xfId="0" applyNumberFormat="1" applyFont="1" applyFill="1" applyBorder="1" applyAlignment="1">
      <alignment horizontal="right" wrapText="1" indent="1"/>
    </xf>
    <xf numFmtId="4" fontId="33" fillId="3" borderId="15" xfId="0" applyNumberFormat="1" applyFont="1" applyFill="1" applyBorder="1" applyAlignment="1">
      <alignment horizontal="right" wrapText="1" indent="1"/>
    </xf>
    <xf numFmtId="0" fontId="36" fillId="3" borderId="17" xfId="0" applyFont="1" applyFill="1" applyBorder="1" applyAlignment="1">
      <alignment horizontal="left" wrapText="1"/>
    </xf>
    <xf numFmtId="4" fontId="36" fillId="3" borderId="17" xfId="0" applyNumberFormat="1" applyFont="1" applyFill="1" applyBorder="1" applyAlignment="1">
      <alignment horizontal="right" wrapText="1" indent="1"/>
    </xf>
    <xf numFmtId="4" fontId="36" fillId="3" borderId="17" xfId="0" applyNumberFormat="1" applyFont="1" applyFill="1" applyBorder="1" applyAlignment="1">
      <alignment horizontal="left" wrapText="1" indent="1"/>
    </xf>
    <xf numFmtId="2" fontId="18" fillId="0" borderId="7" xfId="0" applyNumberFormat="1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90" wrapText="1"/>
    </xf>
    <xf numFmtId="4" fontId="22" fillId="0" borderId="5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2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2" fillId="0" borderId="7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left" wrapText="1"/>
    </xf>
    <xf numFmtId="4" fontId="27" fillId="3" borderId="17" xfId="0" applyNumberFormat="1" applyFont="1" applyFill="1" applyBorder="1" applyAlignment="1">
      <alignment horizontal="right" wrapText="1"/>
    </xf>
    <xf numFmtId="4" fontId="25" fillId="3" borderId="17" xfId="0" applyNumberFormat="1" applyFont="1" applyFill="1" applyBorder="1" applyAlignment="1">
      <alignment horizontal="right" wrapText="1"/>
    </xf>
    <xf numFmtId="0" fontId="25" fillId="3" borderId="17" xfId="0" applyFont="1" applyFill="1" applyBorder="1" applyAlignment="1">
      <alignment horizontal="right" wrapText="1"/>
    </xf>
    <xf numFmtId="0" fontId="28" fillId="3" borderId="17" xfId="0" applyFont="1" applyFill="1" applyBorder="1" applyAlignment="1">
      <alignment horizontal="right" wrapText="1"/>
    </xf>
    <xf numFmtId="0" fontId="23" fillId="0" borderId="7" xfId="0" applyFont="1" applyBorder="1" applyAlignment="1">
      <alignment horizontal="left"/>
    </xf>
    <xf numFmtId="4" fontId="23" fillId="0" borderId="7" xfId="0" applyNumberFormat="1" applyFont="1" applyBorder="1"/>
    <xf numFmtId="3" fontId="23" fillId="0" borderId="7" xfId="0" applyNumberFormat="1" applyFont="1" applyBorder="1"/>
    <xf numFmtId="10" fontId="23" fillId="0" borderId="7" xfId="1" applyNumberFormat="1" applyFont="1" applyBorder="1"/>
    <xf numFmtId="2" fontId="23" fillId="0" borderId="7" xfId="0" applyNumberFormat="1" applyFont="1" applyBorder="1"/>
    <xf numFmtId="0" fontId="0" fillId="0" borderId="7" xfId="0" applyBorder="1" applyAlignment="1">
      <alignment horizontal="left"/>
    </xf>
    <xf numFmtId="4" fontId="0" fillId="0" borderId="7" xfId="0" applyNumberFormat="1" applyBorder="1"/>
    <xf numFmtId="2" fontId="0" fillId="0" borderId="7" xfId="0" applyNumberFormat="1" applyBorder="1"/>
    <xf numFmtId="10" fontId="0" fillId="0" borderId="7" xfId="1" applyNumberFormat="1" applyFont="1" applyBorder="1"/>
    <xf numFmtId="0" fontId="23" fillId="0" borderId="7" xfId="0" applyFont="1" applyFill="1" applyBorder="1" applyAlignment="1">
      <alignment horizontal="left"/>
    </xf>
    <xf numFmtId="4" fontId="23" fillId="0" borderId="7" xfId="0" applyNumberFormat="1" applyFont="1" applyFill="1" applyBorder="1"/>
    <xf numFmtId="0" fontId="0" fillId="0" borderId="7" xfId="0" applyFill="1" applyBorder="1" applyAlignment="1">
      <alignment horizontal="left"/>
    </xf>
    <xf numFmtId="4" fontId="0" fillId="0" borderId="7" xfId="0" applyNumberFormat="1" applyFill="1" applyBorder="1"/>
    <xf numFmtId="2" fontId="0" fillId="0" borderId="7" xfId="0" applyNumberFormat="1" applyFont="1" applyBorder="1"/>
    <xf numFmtId="4" fontId="23" fillId="0" borderId="7" xfId="0" applyNumberFormat="1" applyFont="1" applyBorder="1" applyAlignment="1">
      <alignment horizontal="right"/>
    </xf>
    <xf numFmtId="1" fontId="0" fillId="0" borderId="7" xfId="0" applyNumberFormat="1" applyBorder="1" applyAlignment="1">
      <alignment horizontal="left"/>
    </xf>
    <xf numFmtId="4" fontId="0" fillId="0" borderId="7" xfId="0" applyNumberFormat="1" applyFont="1" applyBorder="1"/>
    <xf numFmtId="0" fontId="0" fillId="0" borderId="7" xfId="0" applyFont="1" applyBorder="1" applyAlignment="1">
      <alignment horizontal="left"/>
    </xf>
    <xf numFmtId="0" fontId="23" fillId="0" borderId="7" xfId="0" applyFont="1" applyBorder="1"/>
    <xf numFmtId="0" fontId="0" fillId="0" borderId="7" xfId="0" applyBorder="1"/>
    <xf numFmtId="0" fontId="0" fillId="0" borderId="7" xfId="0" applyFont="1" applyBorder="1"/>
    <xf numFmtId="3" fontId="0" fillId="0" borderId="7" xfId="0" applyNumberFormat="1" applyBorder="1"/>
    <xf numFmtId="0" fontId="31" fillId="0" borderId="0" xfId="0" applyFont="1" applyAlignment="1">
      <alignment horizontal="center" wrapText="1"/>
    </xf>
    <xf numFmtId="0" fontId="32" fillId="4" borderId="0" xfId="0" applyFont="1" applyFill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distributed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6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14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3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0" workbookViewId="0">
      <selection activeCell="D25" sqref="D25"/>
    </sheetView>
  </sheetViews>
  <sheetFormatPr defaultRowHeight="15" x14ac:dyDescent="0.25"/>
  <cols>
    <col min="1" max="1" width="29.42578125" bestFit="1" customWidth="1"/>
    <col min="2" max="2" width="11.28515625" bestFit="1" customWidth="1"/>
    <col min="3" max="4" width="12.140625" bestFit="1" customWidth="1"/>
    <col min="5" max="5" width="11.28515625" bestFit="1" customWidth="1"/>
    <col min="7" max="7" width="8.5703125" bestFit="1" customWidth="1"/>
  </cols>
  <sheetData>
    <row r="1" spans="1:10" ht="15" customHeight="1" x14ac:dyDescent="0.25">
      <c r="A1" s="189" t="s">
        <v>185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x14ac:dyDescent="0.25">
      <c r="A2" s="108"/>
      <c r="B2" s="108"/>
      <c r="C2" s="108"/>
      <c r="D2" s="108"/>
      <c r="E2" s="108"/>
      <c r="F2" s="108"/>
      <c r="G2" s="108"/>
    </row>
    <row r="3" spans="1:10" x14ac:dyDescent="0.25">
      <c r="A3" s="108"/>
      <c r="B3" s="108"/>
      <c r="C3" s="108"/>
      <c r="D3" s="108"/>
      <c r="E3" s="108"/>
      <c r="F3" s="108"/>
      <c r="G3" s="108"/>
    </row>
    <row r="4" spans="1:10" x14ac:dyDescent="0.25">
      <c r="A4" s="108" t="s">
        <v>186</v>
      </c>
      <c r="B4" s="108"/>
      <c r="C4" s="108"/>
      <c r="D4" s="108"/>
      <c r="E4" s="108"/>
      <c r="F4" s="108"/>
      <c r="G4" s="108"/>
    </row>
    <row r="5" spans="1:10" x14ac:dyDescent="0.25">
      <c r="A5" s="108"/>
      <c r="B5" s="108"/>
      <c r="C5" s="108"/>
      <c r="D5" s="108"/>
      <c r="E5" s="108"/>
      <c r="F5" s="108"/>
      <c r="G5" s="108"/>
    </row>
    <row r="6" spans="1:10" x14ac:dyDescent="0.25">
      <c r="A6" s="108"/>
      <c r="B6" s="108"/>
      <c r="C6" s="108"/>
      <c r="D6" s="108"/>
      <c r="E6" s="108"/>
      <c r="F6" s="108"/>
      <c r="G6" s="108"/>
    </row>
    <row r="7" spans="1:10" ht="15" customHeight="1" x14ac:dyDescent="0.25">
      <c r="A7" s="190" t="s">
        <v>206</v>
      </c>
      <c r="B7" s="190"/>
      <c r="C7" s="190"/>
      <c r="D7" s="190"/>
      <c r="E7" s="190"/>
      <c r="F7" s="190"/>
      <c r="G7" s="190"/>
      <c r="H7" s="190"/>
      <c r="I7" s="190"/>
      <c r="J7" s="190"/>
    </row>
    <row r="9" spans="1:10" x14ac:dyDescent="0.25">
      <c r="A9" s="108" t="s">
        <v>82</v>
      </c>
      <c r="B9" s="108"/>
      <c r="C9" s="108"/>
      <c r="D9" s="108"/>
      <c r="E9" s="108"/>
      <c r="F9" s="108"/>
      <c r="G9" s="108"/>
    </row>
    <row r="10" spans="1:10" ht="15.75" thickBot="1" x14ac:dyDescent="0.3">
      <c r="A10" s="108"/>
      <c r="B10" s="108"/>
      <c r="C10" s="108"/>
      <c r="D10" s="108"/>
      <c r="E10" s="108"/>
      <c r="F10" s="108"/>
      <c r="G10" s="108"/>
    </row>
    <row r="11" spans="1:10" ht="32.25" thickBot="1" x14ac:dyDescent="0.3">
      <c r="A11" s="109" t="s">
        <v>187</v>
      </c>
      <c r="B11" s="109" t="s">
        <v>205</v>
      </c>
      <c r="C11" s="109" t="s">
        <v>189</v>
      </c>
      <c r="D11" s="109" t="s">
        <v>190</v>
      </c>
      <c r="E11" s="109" t="s">
        <v>191</v>
      </c>
      <c r="F11" s="109" t="s">
        <v>85</v>
      </c>
      <c r="G11" s="109" t="s">
        <v>86</v>
      </c>
    </row>
    <row r="12" spans="1:10" x14ac:dyDescent="0.25">
      <c r="A12" s="110" t="s">
        <v>192</v>
      </c>
      <c r="B12" s="111">
        <v>1603097.19</v>
      </c>
      <c r="C12" s="111">
        <v>3426062</v>
      </c>
      <c r="D12" s="111">
        <v>3628915</v>
      </c>
      <c r="E12" s="111">
        <v>1789708.06</v>
      </c>
      <c r="F12" s="111">
        <f>E12/B12*100</f>
        <v>111.64064606712959</v>
      </c>
      <c r="G12" s="112">
        <f>E12/D12*100</f>
        <v>49.317993394719913</v>
      </c>
    </row>
    <row r="13" spans="1:10" s="96" customFormat="1" x14ac:dyDescent="0.25">
      <c r="A13" s="121" t="s">
        <v>193</v>
      </c>
      <c r="B13" s="122">
        <f>SUM(B12:B12)</f>
        <v>1603097.19</v>
      </c>
      <c r="C13" s="122">
        <f>SUM(C12:C12)</f>
        <v>3426062</v>
      </c>
      <c r="D13" s="122">
        <f>SUM(D12:D12)</f>
        <v>3628915</v>
      </c>
      <c r="E13" s="122">
        <f>SUM(E12:E12)</f>
        <v>1789708.06</v>
      </c>
      <c r="F13" s="122">
        <f t="shared" ref="F13:F16" si="0">E13/B13*100</f>
        <v>111.64064606712959</v>
      </c>
      <c r="G13" s="123">
        <f t="shared" ref="G13:G16" si="1">E13/D13*100</f>
        <v>49.317993394719913</v>
      </c>
    </row>
    <row r="14" spans="1:10" x14ac:dyDescent="0.25">
      <c r="A14" s="110" t="s">
        <v>194</v>
      </c>
      <c r="B14" s="111">
        <v>1537867.52</v>
      </c>
      <c r="C14" s="113">
        <v>3492235</v>
      </c>
      <c r="D14" s="113">
        <v>3672153</v>
      </c>
      <c r="E14" s="111">
        <v>1721086.05</v>
      </c>
      <c r="F14" s="111">
        <f t="shared" si="0"/>
        <v>111.91380451288808</v>
      </c>
      <c r="G14" s="112">
        <f t="shared" si="1"/>
        <v>46.86858227312424</v>
      </c>
    </row>
    <row r="15" spans="1:10" ht="23.25" x14ac:dyDescent="0.25">
      <c r="A15" s="110" t="s">
        <v>195</v>
      </c>
      <c r="B15" s="111">
        <v>95095.65</v>
      </c>
      <c r="C15" s="113">
        <v>32700</v>
      </c>
      <c r="D15" s="113">
        <v>32700</v>
      </c>
      <c r="E15" s="111">
        <v>115173.52</v>
      </c>
      <c r="F15" s="111">
        <f t="shared" si="0"/>
        <v>121.11334219809213</v>
      </c>
      <c r="G15" s="112">
        <f t="shared" si="1"/>
        <v>352.2125993883792</v>
      </c>
    </row>
    <row r="16" spans="1:10" ht="15.75" thickBot="1" x14ac:dyDescent="0.3">
      <c r="A16" s="124" t="s">
        <v>196</v>
      </c>
      <c r="B16" s="125">
        <f>SUM(B14:B15)</f>
        <v>1632963.17</v>
      </c>
      <c r="C16" s="126">
        <f>SUM(C14:C15)</f>
        <v>3524935</v>
      </c>
      <c r="D16" s="126">
        <f>SUM(D14:D15)</f>
        <v>3704853</v>
      </c>
      <c r="E16" s="125">
        <f>SUM(E14:E15)</f>
        <v>1836259.57</v>
      </c>
      <c r="F16" s="122">
        <f t="shared" si="0"/>
        <v>112.4495398141772</v>
      </c>
      <c r="G16" s="123">
        <f t="shared" si="1"/>
        <v>49.563628300502074</v>
      </c>
    </row>
    <row r="17" spans="1:7" ht="15.75" thickBot="1" x14ac:dyDescent="0.3">
      <c r="A17" s="114" t="s">
        <v>197</v>
      </c>
      <c r="B17" s="115">
        <f>B13-B16</f>
        <v>-29865.979999999981</v>
      </c>
      <c r="C17" s="115">
        <v>0</v>
      </c>
      <c r="D17" s="115">
        <v>0</v>
      </c>
      <c r="E17" s="115">
        <f t="shared" ref="E17" si="2">E13-E16</f>
        <v>-46551.510000000009</v>
      </c>
      <c r="F17" s="115"/>
      <c r="G17" s="115"/>
    </row>
    <row r="18" spans="1:7" x14ac:dyDescent="0.25">
      <c r="A18" s="116"/>
      <c r="B18" s="108"/>
      <c r="C18" s="108"/>
      <c r="D18" s="108"/>
      <c r="E18" s="108"/>
      <c r="F18" s="108"/>
      <c r="G18" s="108"/>
    </row>
    <row r="19" spans="1:7" x14ac:dyDescent="0.25">
      <c r="A19" s="116"/>
      <c r="B19" s="108"/>
      <c r="C19" s="108"/>
      <c r="D19" s="108"/>
      <c r="E19" s="108"/>
      <c r="F19" s="108"/>
      <c r="G19" s="108"/>
    </row>
    <row r="20" spans="1:7" ht="33" customHeight="1" x14ac:dyDescent="0.25">
      <c r="A20" s="189" t="s">
        <v>198</v>
      </c>
      <c r="B20" s="189"/>
      <c r="C20" s="108"/>
      <c r="D20" s="108"/>
      <c r="E20" s="108"/>
      <c r="F20" s="108"/>
      <c r="G20" s="108"/>
    </row>
    <row r="21" spans="1:7" ht="15.75" thickBot="1" x14ac:dyDescent="0.3">
      <c r="A21" s="116"/>
      <c r="B21" s="108"/>
      <c r="C21" s="108"/>
      <c r="D21" s="108"/>
      <c r="E21" s="108"/>
      <c r="F21" s="108"/>
      <c r="G21" s="108"/>
    </row>
    <row r="22" spans="1:7" ht="32.25" thickBot="1" x14ac:dyDescent="0.3">
      <c r="A22" s="109" t="s">
        <v>187</v>
      </c>
      <c r="B22" s="109" t="s">
        <v>188</v>
      </c>
      <c r="C22" s="109" t="s">
        <v>199</v>
      </c>
      <c r="D22" s="109" t="s">
        <v>200</v>
      </c>
      <c r="E22" s="109" t="s">
        <v>191</v>
      </c>
      <c r="F22" s="109" t="s">
        <v>85</v>
      </c>
      <c r="G22" s="109" t="s">
        <v>86</v>
      </c>
    </row>
    <row r="23" spans="1:7" ht="39.75" customHeight="1" thickBot="1" x14ac:dyDescent="0.3">
      <c r="A23" s="114" t="s">
        <v>201</v>
      </c>
      <c r="B23" s="115">
        <v>0</v>
      </c>
      <c r="C23" s="117">
        <v>0</v>
      </c>
      <c r="D23" s="115">
        <v>0</v>
      </c>
      <c r="E23" s="115">
        <v>0</v>
      </c>
      <c r="F23" s="115"/>
      <c r="G23" s="115"/>
    </row>
    <row r="24" spans="1:7" ht="41.25" customHeight="1" x14ac:dyDescent="0.25">
      <c r="A24" s="116"/>
      <c r="B24" s="108"/>
      <c r="C24" s="108"/>
      <c r="D24" s="108"/>
      <c r="E24" s="108"/>
      <c r="F24" s="108"/>
      <c r="G24" s="108"/>
    </row>
    <row r="25" spans="1:7" ht="39" customHeight="1" x14ac:dyDescent="0.25">
      <c r="A25" s="116"/>
      <c r="B25" s="108"/>
      <c r="C25" s="108"/>
      <c r="D25" s="108"/>
      <c r="E25" s="108"/>
      <c r="F25" s="108"/>
      <c r="G25" s="108"/>
    </row>
    <row r="26" spans="1:7" ht="15" customHeight="1" x14ac:dyDescent="0.25">
      <c r="A26" s="189" t="s">
        <v>202</v>
      </c>
      <c r="B26" s="189"/>
      <c r="C26" s="189"/>
      <c r="D26" s="108"/>
      <c r="E26" s="108"/>
      <c r="F26" s="108"/>
      <c r="G26" s="108"/>
    </row>
    <row r="27" spans="1:7" ht="15.75" thickBot="1" x14ac:dyDescent="0.3">
      <c r="A27" s="116"/>
      <c r="B27" s="108"/>
      <c r="C27" s="108"/>
      <c r="D27" s="108"/>
      <c r="E27" s="108"/>
      <c r="F27" s="108"/>
      <c r="G27" s="108"/>
    </row>
    <row r="28" spans="1:7" ht="85.5" customHeight="1" thickBot="1" x14ac:dyDescent="0.3">
      <c r="A28" s="109" t="s">
        <v>187</v>
      </c>
      <c r="B28" s="109" t="s">
        <v>207</v>
      </c>
      <c r="C28" s="109" t="s">
        <v>199</v>
      </c>
      <c r="D28" s="109" t="s">
        <v>200</v>
      </c>
      <c r="E28" s="109" t="s">
        <v>208</v>
      </c>
      <c r="F28" s="109" t="s">
        <v>85</v>
      </c>
      <c r="G28" s="109" t="s">
        <v>86</v>
      </c>
    </row>
    <row r="29" spans="1:7" x14ac:dyDescent="0.25">
      <c r="A29" s="110" t="s">
        <v>203</v>
      </c>
      <c r="B29" s="111">
        <v>28842.68</v>
      </c>
      <c r="C29" s="111">
        <v>0</v>
      </c>
      <c r="D29" s="111">
        <v>0</v>
      </c>
      <c r="E29" s="111">
        <v>80343.05</v>
      </c>
      <c r="F29" s="111">
        <v>0</v>
      </c>
      <c r="G29" s="112">
        <v>0</v>
      </c>
    </row>
    <row r="30" spans="1:7" x14ac:dyDescent="0.25">
      <c r="A30" s="116"/>
      <c r="B30" s="108"/>
      <c r="C30" s="108"/>
      <c r="D30" s="108"/>
      <c r="E30" s="108"/>
      <c r="F30" s="108"/>
      <c r="G30" s="108"/>
    </row>
    <row r="31" spans="1:7" x14ac:dyDescent="0.25">
      <c r="A31" s="116"/>
      <c r="B31" s="108"/>
      <c r="C31" s="108"/>
      <c r="D31" s="108"/>
      <c r="E31" s="108"/>
      <c r="F31" s="108"/>
      <c r="G31" s="108"/>
    </row>
    <row r="32" spans="1:7" ht="15.75" thickBot="1" x14ac:dyDescent="0.3">
      <c r="A32" s="116"/>
      <c r="B32" s="108"/>
      <c r="C32" s="108"/>
      <c r="D32" s="108"/>
      <c r="E32" s="108"/>
      <c r="F32" s="108"/>
      <c r="G32" s="108"/>
    </row>
    <row r="33" spans="1:7" ht="33.75" thickBot="1" x14ac:dyDescent="0.3">
      <c r="A33" s="118" t="s">
        <v>204</v>
      </c>
      <c r="B33" s="119">
        <v>0</v>
      </c>
      <c r="C33" s="119">
        <v>0</v>
      </c>
      <c r="D33" s="119">
        <v>0</v>
      </c>
      <c r="E33" s="119">
        <v>0</v>
      </c>
      <c r="F33" s="120">
        <v>0</v>
      </c>
      <c r="G33" s="115">
        <v>0</v>
      </c>
    </row>
    <row r="34" spans="1:7" x14ac:dyDescent="0.25">
      <c r="A34" s="116"/>
      <c r="B34" s="108"/>
      <c r="C34" s="108"/>
      <c r="D34" s="108"/>
      <c r="E34" s="108"/>
      <c r="F34" s="108"/>
      <c r="G34" s="108"/>
    </row>
  </sheetData>
  <mergeCells count="4">
    <mergeCell ref="A26:C26"/>
    <mergeCell ref="A1:J1"/>
    <mergeCell ref="A7:J7"/>
    <mergeCell ref="A20:B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opLeftCell="A55" workbookViewId="0">
      <selection activeCell="C12" sqref="C12"/>
    </sheetView>
  </sheetViews>
  <sheetFormatPr defaultRowHeight="15" x14ac:dyDescent="0.25"/>
  <cols>
    <col min="1" max="1" width="71.7109375" bestFit="1" customWidth="1"/>
    <col min="2" max="2" width="13.7109375" bestFit="1" customWidth="1"/>
    <col min="3" max="3" width="12.7109375" bestFit="1" customWidth="1"/>
    <col min="4" max="5" width="11.7109375" bestFit="1" customWidth="1"/>
    <col min="6" max="6" width="8.42578125" bestFit="1" customWidth="1"/>
  </cols>
  <sheetData>
    <row r="1" spans="1:7" ht="15.75" thickBot="1" x14ac:dyDescent="0.3">
      <c r="A1" s="95" t="s">
        <v>80</v>
      </c>
      <c r="B1" s="191" t="s">
        <v>81</v>
      </c>
      <c r="C1" s="192"/>
      <c r="D1" s="192"/>
      <c r="E1" s="192"/>
      <c r="F1" s="192"/>
      <c r="G1" s="193"/>
    </row>
    <row r="2" spans="1:7" ht="36.75" x14ac:dyDescent="0.25">
      <c r="A2" s="162" t="s">
        <v>82</v>
      </c>
      <c r="B2" s="163" t="s">
        <v>88</v>
      </c>
      <c r="C2" s="164" t="s">
        <v>87</v>
      </c>
      <c r="D2" s="164" t="s">
        <v>83</v>
      </c>
      <c r="E2" s="164" t="s">
        <v>84</v>
      </c>
      <c r="F2" s="165" t="s">
        <v>85</v>
      </c>
      <c r="G2" s="166" t="s">
        <v>86</v>
      </c>
    </row>
    <row r="3" spans="1:7" x14ac:dyDescent="0.25">
      <c r="A3" s="167" t="s">
        <v>89</v>
      </c>
      <c r="B3" s="168">
        <f>B4+B12+B15+B18+B23</f>
        <v>1603330.7799999998</v>
      </c>
      <c r="C3" s="169">
        <v>3426062</v>
      </c>
      <c r="D3" s="168">
        <v>3628915</v>
      </c>
      <c r="E3" s="168">
        <v>1789708.06</v>
      </c>
      <c r="F3" s="170">
        <f>E3/B3</f>
        <v>1.1162438108997073</v>
      </c>
      <c r="G3" s="170">
        <f>E3/D3</f>
        <v>0.49317993394719911</v>
      </c>
    </row>
    <row r="4" spans="1:7" x14ac:dyDescent="0.25">
      <c r="A4" s="167" t="s">
        <v>90</v>
      </c>
      <c r="B4" s="168">
        <f>B5+B9+B7</f>
        <v>74892.329999999987</v>
      </c>
      <c r="C4" s="168">
        <v>1927</v>
      </c>
      <c r="D4" s="168">
        <v>3319</v>
      </c>
      <c r="E4" s="168">
        <v>96666.04</v>
      </c>
      <c r="F4" s="170">
        <f t="shared" ref="F4:F69" si="0">E4/B4</f>
        <v>1.2907335103608075</v>
      </c>
      <c r="G4" s="170">
        <f t="shared" ref="G4:G69" si="1">E4/D4</f>
        <v>29.125049713769204</v>
      </c>
    </row>
    <row r="5" spans="1:7" x14ac:dyDescent="0.25">
      <c r="A5" s="167" t="s">
        <v>91</v>
      </c>
      <c r="B5" s="168">
        <f>B6</f>
        <v>66680.95</v>
      </c>
      <c r="C5" s="171">
        <v>0</v>
      </c>
      <c r="D5" s="171">
        <v>0</v>
      </c>
      <c r="E5" s="168">
        <v>94075.88</v>
      </c>
      <c r="F5" s="170">
        <f t="shared" si="0"/>
        <v>1.41083592840234</v>
      </c>
      <c r="G5" s="170">
        <v>0</v>
      </c>
    </row>
    <row r="6" spans="1:7" x14ac:dyDescent="0.25">
      <c r="A6" s="172" t="s">
        <v>92</v>
      </c>
      <c r="B6" s="173">
        <v>66680.95</v>
      </c>
      <c r="C6" s="174">
        <v>0</v>
      </c>
      <c r="D6" s="174">
        <v>0</v>
      </c>
      <c r="E6" s="173">
        <v>94075.88</v>
      </c>
      <c r="F6" s="175">
        <f t="shared" si="0"/>
        <v>1.41083592840234</v>
      </c>
      <c r="G6" s="175">
        <v>0</v>
      </c>
    </row>
    <row r="7" spans="1:7" x14ac:dyDescent="0.25">
      <c r="A7" s="167" t="s">
        <v>210</v>
      </c>
      <c r="B7" s="168">
        <v>233.59</v>
      </c>
      <c r="C7" s="171">
        <v>265</v>
      </c>
      <c r="D7" s="171">
        <v>265</v>
      </c>
      <c r="E7" s="173">
        <v>0</v>
      </c>
      <c r="F7" s="175">
        <f t="shared" si="0"/>
        <v>0</v>
      </c>
      <c r="G7" s="175">
        <v>0</v>
      </c>
    </row>
    <row r="8" spans="1:7" x14ac:dyDescent="0.25">
      <c r="A8" s="172" t="s">
        <v>211</v>
      </c>
      <c r="B8" s="173">
        <v>233.59</v>
      </c>
      <c r="C8" s="174">
        <v>265</v>
      </c>
      <c r="D8" s="174">
        <v>265</v>
      </c>
      <c r="E8" s="173">
        <v>0</v>
      </c>
      <c r="F8" s="175">
        <f t="shared" si="0"/>
        <v>0</v>
      </c>
      <c r="G8" s="175">
        <v>0</v>
      </c>
    </row>
    <row r="9" spans="1:7" x14ac:dyDescent="0.25">
      <c r="A9" s="176" t="s">
        <v>93</v>
      </c>
      <c r="B9" s="168">
        <v>7977.79</v>
      </c>
      <c r="C9" s="171">
        <v>1927</v>
      </c>
      <c r="D9" s="168">
        <v>2789</v>
      </c>
      <c r="E9" s="177">
        <v>2590.16</v>
      </c>
      <c r="F9" s="170">
        <f t="shared" si="0"/>
        <v>0.32467136888787496</v>
      </c>
      <c r="G9" s="170">
        <f t="shared" si="1"/>
        <v>0.92870562925779843</v>
      </c>
    </row>
    <row r="10" spans="1:7" x14ac:dyDescent="0.25">
      <c r="A10" s="178" t="s">
        <v>94</v>
      </c>
      <c r="B10" s="173">
        <v>1479.86</v>
      </c>
      <c r="C10" s="174">
        <v>1927</v>
      </c>
      <c r="D10" s="173">
        <v>2789</v>
      </c>
      <c r="E10" s="179">
        <v>1994.38</v>
      </c>
      <c r="F10" s="175">
        <f>E10/B10</f>
        <v>1.3476815374427313</v>
      </c>
      <c r="G10" s="175">
        <f>E10/D10</f>
        <v>0.71508784510577272</v>
      </c>
    </row>
    <row r="11" spans="1:7" x14ac:dyDescent="0.25">
      <c r="A11" s="178" t="s">
        <v>95</v>
      </c>
      <c r="B11" s="173">
        <v>6497.93</v>
      </c>
      <c r="C11" s="174">
        <v>0</v>
      </c>
      <c r="D11" s="174">
        <v>0</v>
      </c>
      <c r="E11" s="173">
        <v>595.78</v>
      </c>
      <c r="F11" s="175">
        <f t="shared" si="0"/>
        <v>9.1687660531892451E-2</v>
      </c>
      <c r="G11" s="175">
        <v>0</v>
      </c>
    </row>
    <row r="12" spans="1:7" x14ac:dyDescent="0.25">
      <c r="A12" s="176" t="s">
        <v>96</v>
      </c>
      <c r="B12" s="171">
        <v>0</v>
      </c>
      <c r="C12" s="171">
        <v>0</v>
      </c>
      <c r="D12" s="171">
        <v>0</v>
      </c>
      <c r="E12" s="168">
        <v>1.03</v>
      </c>
      <c r="F12" s="170">
        <v>0</v>
      </c>
      <c r="G12" s="170">
        <v>0</v>
      </c>
    </row>
    <row r="13" spans="1:7" x14ac:dyDescent="0.25">
      <c r="A13" s="176" t="s">
        <v>97</v>
      </c>
      <c r="B13" s="171">
        <v>0</v>
      </c>
      <c r="C13" s="171">
        <v>0</v>
      </c>
      <c r="D13" s="171">
        <v>0</v>
      </c>
      <c r="E13" s="168">
        <v>1.03</v>
      </c>
      <c r="F13" s="170">
        <v>0</v>
      </c>
      <c r="G13" s="170">
        <v>0</v>
      </c>
    </row>
    <row r="14" spans="1:7" x14ac:dyDescent="0.25">
      <c r="A14" s="178" t="s">
        <v>98</v>
      </c>
      <c r="B14" s="174">
        <v>0</v>
      </c>
      <c r="C14" s="174">
        <v>0</v>
      </c>
      <c r="D14" s="180">
        <v>0</v>
      </c>
      <c r="E14" s="173">
        <v>1.03</v>
      </c>
      <c r="F14" s="175">
        <v>0</v>
      </c>
      <c r="G14" s="175">
        <v>0</v>
      </c>
    </row>
    <row r="15" spans="1:7" x14ac:dyDescent="0.25">
      <c r="A15" s="176" t="s">
        <v>99</v>
      </c>
      <c r="B15" s="181">
        <v>2300.1799999999998</v>
      </c>
      <c r="C15" s="168">
        <v>6238</v>
      </c>
      <c r="D15" s="168">
        <v>6238</v>
      </c>
      <c r="E15" s="168">
        <v>3038.51</v>
      </c>
      <c r="F15" s="170">
        <f t="shared" si="0"/>
        <v>1.3209879226843118</v>
      </c>
      <c r="G15" s="170">
        <f t="shared" si="1"/>
        <v>0.48709682590573905</v>
      </c>
    </row>
    <row r="16" spans="1:7" x14ac:dyDescent="0.25">
      <c r="A16" s="176" t="s">
        <v>100</v>
      </c>
      <c r="B16" s="168">
        <v>2300.1799999999998</v>
      </c>
      <c r="C16" s="168">
        <v>6238</v>
      </c>
      <c r="D16" s="168">
        <v>6238</v>
      </c>
      <c r="E16" s="168">
        <v>3038.51</v>
      </c>
      <c r="F16" s="170">
        <f t="shared" si="0"/>
        <v>1.3209879226843118</v>
      </c>
      <c r="G16" s="170">
        <f t="shared" si="1"/>
        <v>0.48709682590573905</v>
      </c>
    </row>
    <row r="17" spans="1:7" x14ac:dyDescent="0.25">
      <c r="A17" s="178" t="s">
        <v>101</v>
      </c>
      <c r="B17" s="173">
        <v>2300.1799999999998</v>
      </c>
      <c r="C17" s="173">
        <v>6238</v>
      </c>
      <c r="D17" s="173">
        <v>6238</v>
      </c>
      <c r="E17" s="173">
        <v>3038.51</v>
      </c>
      <c r="F17" s="175">
        <f t="shared" si="0"/>
        <v>1.3209879226843118</v>
      </c>
      <c r="G17" s="175">
        <f t="shared" si="1"/>
        <v>0.48709682590573905</v>
      </c>
    </row>
    <row r="18" spans="1:7" x14ac:dyDescent="0.25">
      <c r="A18" s="176" t="s">
        <v>102</v>
      </c>
      <c r="B18" s="168">
        <f>B19+B21</f>
        <v>46294.850000000006</v>
      </c>
      <c r="C18" s="168">
        <v>111487</v>
      </c>
      <c r="D18" s="168">
        <v>111487</v>
      </c>
      <c r="E18" s="168">
        <v>48882.67</v>
      </c>
      <c r="F18" s="170">
        <f t="shared" si="0"/>
        <v>1.0558986582740844</v>
      </c>
      <c r="G18" s="170">
        <f t="shared" si="1"/>
        <v>0.43846071739305925</v>
      </c>
    </row>
    <row r="19" spans="1:7" x14ac:dyDescent="0.25">
      <c r="A19" s="167" t="s">
        <v>103</v>
      </c>
      <c r="B19" s="168">
        <v>41669.120000000003</v>
      </c>
      <c r="C19" s="168">
        <v>111487</v>
      </c>
      <c r="D19" s="168">
        <v>111487</v>
      </c>
      <c r="E19" s="168">
        <v>48696.54</v>
      </c>
      <c r="F19" s="170">
        <f t="shared" si="0"/>
        <v>1.1686481499969281</v>
      </c>
      <c r="G19" s="170">
        <f t="shared" si="1"/>
        <v>0.43679119538600913</v>
      </c>
    </row>
    <row r="20" spans="1:7" x14ac:dyDescent="0.25">
      <c r="A20" s="182" t="s">
        <v>104</v>
      </c>
      <c r="B20" s="173">
        <v>41669.120000000003</v>
      </c>
      <c r="C20" s="173">
        <v>111487</v>
      </c>
      <c r="D20" s="173">
        <v>111487</v>
      </c>
      <c r="E20" s="183">
        <v>48696.54</v>
      </c>
      <c r="F20" s="175">
        <f>E20/B20</f>
        <v>1.1686481499969281</v>
      </c>
      <c r="G20" s="175">
        <f t="shared" si="1"/>
        <v>0.43679119538600913</v>
      </c>
    </row>
    <row r="21" spans="1:7" x14ac:dyDescent="0.25">
      <c r="A21" s="167" t="s">
        <v>105</v>
      </c>
      <c r="B21" s="168">
        <v>4625.7299999999996</v>
      </c>
      <c r="C21" s="171">
        <v>0</v>
      </c>
      <c r="D21" s="168">
        <v>0</v>
      </c>
      <c r="E21" s="168">
        <v>186.13</v>
      </c>
      <c r="F21" s="170">
        <f t="shared" si="0"/>
        <v>4.0237973249627627E-2</v>
      </c>
      <c r="G21" s="170">
        <v>0</v>
      </c>
    </row>
    <row r="22" spans="1:7" x14ac:dyDescent="0.25">
      <c r="A22" s="184" t="s">
        <v>106</v>
      </c>
      <c r="B22" s="173">
        <v>4625.7299999999996</v>
      </c>
      <c r="C22" s="174">
        <v>0</v>
      </c>
      <c r="D22" s="168">
        <v>0</v>
      </c>
      <c r="E22" s="183">
        <v>186.13</v>
      </c>
      <c r="F22" s="175">
        <f t="shared" si="0"/>
        <v>4.0237973249627627E-2</v>
      </c>
      <c r="G22" s="175">
        <v>0</v>
      </c>
    </row>
    <row r="23" spans="1:7" x14ac:dyDescent="0.25">
      <c r="A23" s="167" t="s">
        <v>107</v>
      </c>
      <c r="B23" s="168">
        <v>1479843.42</v>
      </c>
      <c r="C23" s="168">
        <v>3306410</v>
      </c>
      <c r="D23" s="168">
        <v>3508136</v>
      </c>
      <c r="E23" s="168">
        <v>1789708.06</v>
      </c>
      <c r="F23" s="170">
        <f t="shared" si="0"/>
        <v>1.2093901529122588</v>
      </c>
      <c r="G23" s="170">
        <f t="shared" si="1"/>
        <v>0.5101592583639859</v>
      </c>
    </row>
    <row r="24" spans="1:7" x14ac:dyDescent="0.25">
      <c r="A24" s="185" t="s">
        <v>108</v>
      </c>
      <c r="B24" s="168">
        <v>1479843.42</v>
      </c>
      <c r="C24" s="168">
        <v>3306410</v>
      </c>
      <c r="D24" s="168">
        <v>3508136</v>
      </c>
      <c r="E24" s="168">
        <v>1641119.81</v>
      </c>
      <c r="F24" s="170">
        <f t="shared" si="0"/>
        <v>1.1089820637915868</v>
      </c>
      <c r="G24" s="170">
        <f t="shared" si="1"/>
        <v>0.46780393063438819</v>
      </c>
    </row>
    <row r="25" spans="1:7" x14ac:dyDescent="0.25">
      <c r="A25" s="186" t="s">
        <v>109</v>
      </c>
      <c r="B25" s="183">
        <v>1470312.53</v>
      </c>
      <c r="C25" s="183">
        <v>3306410</v>
      </c>
      <c r="D25" s="173">
        <v>3508136</v>
      </c>
      <c r="E25" s="183">
        <v>1627879.81</v>
      </c>
      <c r="F25" s="175">
        <f t="shared" si="0"/>
        <v>1.1071658418091561</v>
      </c>
      <c r="G25" s="175">
        <f t="shared" si="1"/>
        <v>0.46402984661940133</v>
      </c>
    </row>
    <row r="26" spans="1:7" x14ac:dyDescent="0.25">
      <c r="A26" s="186" t="s">
        <v>110</v>
      </c>
      <c r="B26" s="173">
        <v>9530.89</v>
      </c>
      <c r="C26" s="174">
        <v>0</v>
      </c>
      <c r="D26" s="183">
        <v>0</v>
      </c>
      <c r="E26" s="183">
        <v>13240</v>
      </c>
      <c r="F26" s="175">
        <f t="shared" si="0"/>
        <v>1.3891672236275943</v>
      </c>
      <c r="G26" s="175">
        <v>0</v>
      </c>
    </row>
    <row r="27" spans="1:7" x14ac:dyDescent="0.25">
      <c r="A27" s="186"/>
      <c r="B27" s="186"/>
      <c r="C27" s="186"/>
      <c r="D27" s="186"/>
      <c r="E27" s="186"/>
      <c r="F27" s="186"/>
      <c r="G27" s="186"/>
    </row>
    <row r="28" spans="1:7" x14ac:dyDescent="0.25">
      <c r="A28" s="185" t="s">
        <v>111</v>
      </c>
      <c r="B28" s="168">
        <v>1537867.52</v>
      </c>
      <c r="C28" s="168">
        <v>3492235</v>
      </c>
      <c r="D28" s="168">
        <v>3672153</v>
      </c>
      <c r="E28" s="168">
        <v>1721086.05</v>
      </c>
      <c r="F28" s="170">
        <f t="shared" si="0"/>
        <v>1.1191380451288808</v>
      </c>
      <c r="G28" s="170">
        <f t="shared" si="1"/>
        <v>0.46868582273124243</v>
      </c>
    </row>
    <row r="29" spans="1:7" x14ac:dyDescent="0.25">
      <c r="A29" s="185" t="s">
        <v>112</v>
      </c>
      <c r="B29" s="168">
        <v>1195072.55</v>
      </c>
      <c r="C29" s="168">
        <v>2662626</v>
      </c>
      <c r="D29" s="168">
        <v>2840013</v>
      </c>
      <c r="E29" s="168">
        <v>1398520.92</v>
      </c>
      <c r="F29" s="170">
        <f t="shared" si="0"/>
        <v>1.1702393465568262</v>
      </c>
      <c r="G29" s="170">
        <f t="shared" si="1"/>
        <v>0.49243468955951958</v>
      </c>
    </row>
    <row r="30" spans="1:7" x14ac:dyDescent="0.25">
      <c r="A30" s="185" t="s">
        <v>113</v>
      </c>
      <c r="B30" s="168">
        <v>1007330.85</v>
      </c>
      <c r="C30" s="168">
        <f>SUM(C31:C33)</f>
        <v>2209742</v>
      </c>
      <c r="D30" s="168">
        <v>2359247</v>
      </c>
      <c r="E30" s="168">
        <v>1176357.2</v>
      </c>
      <c r="F30" s="170">
        <f t="shared" si="0"/>
        <v>1.1677962607816488</v>
      </c>
      <c r="G30" s="170">
        <f t="shared" si="1"/>
        <v>0.49861553283738413</v>
      </c>
    </row>
    <row r="31" spans="1:7" x14ac:dyDescent="0.25">
      <c r="A31" s="186" t="s">
        <v>114</v>
      </c>
      <c r="B31" s="173">
        <v>816367.02</v>
      </c>
      <c r="C31" s="173">
        <v>1795647</v>
      </c>
      <c r="D31" s="173">
        <v>1911552</v>
      </c>
      <c r="E31" s="173">
        <v>950880.67</v>
      </c>
      <c r="F31" s="175">
        <f t="shared" si="0"/>
        <v>1.1647710486883707</v>
      </c>
      <c r="G31" s="175">
        <f t="shared" si="1"/>
        <v>0.49743908091435651</v>
      </c>
    </row>
    <row r="32" spans="1:7" x14ac:dyDescent="0.25">
      <c r="A32" s="187" t="s">
        <v>115</v>
      </c>
      <c r="B32" s="173">
        <v>8165.7</v>
      </c>
      <c r="C32" s="173">
        <v>15927</v>
      </c>
      <c r="D32" s="173">
        <v>20091</v>
      </c>
      <c r="E32" s="173">
        <v>13198.3</v>
      </c>
      <c r="F32" s="175">
        <f t="shared" si="0"/>
        <v>1.6163096856362589</v>
      </c>
      <c r="G32" s="175">
        <f t="shared" si="1"/>
        <v>0.65692598676024083</v>
      </c>
    </row>
    <row r="33" spans="1:7" x14ac:dyDescent="0.25">
      <c r="A33" s="186" t="s">
        <v>116</v>
      </c>
      <c r="B33" s="173">
        <v>182798.13</v>
      </c>
      <c r="C33" s="173">
        <v>398168</v>
      </c>
      <c r="D33" s="173">
        <v>427604</v>
      </c>
      <c r="E33" s="183">
        <v>212278.23</v>
      </c>
      <c r="F33" s="175">
        <f t="shared" si="0"/>
        <v>1.1612713434212922</v>
      </c>
      <c r="G33" s="175">
        <f t="shared" si="1"/>
        <v>0.49643649264272555</v>
      </c>
    </row>
    <row r="34" spans="1:7" x14ac:dyDescent="0.25">
      <c r="A34" s="185" t="s">
        <v>117</v>
      </c>
      <c r="B34" s="168">
        <v>42655.3</v>
      </c>
      <c r="C34" s="168">
        <v>89011</v>
      </c>
      <c r="D34" s="168">
        <v>96432</v>
      </c>
      <c r="E34" s="168">
        <v>57196.94</v>
      </c>
      <c r="F34" s="170">
        <f t="shared" si="0"/>
        <v>1.3409105081900725</v>
      </c>
      <c r="G34" s="170">
        <f t="shared" si="1"/>
        <v>0.59313236270117808</v>
      </c>
    </row>
    <row r="35" spans="1:7" x14ac:dyDescent="0.25">
      <c r="A35" s="186" t="s">
        <v>118</v>
      </c>
      <c r="B35" s="173">
        <v>42655.3</v>
      </c>
      <c r="C35" s="173">
        <v>89011</v>
      </c>
      <c r="D35" s="173">
        <v>96432</v>
      </c>
      <c r="E35" s="183">
        <v>57196.94</v>
      </c>
      <c r="F35" s="175">
        <f t="shared" si="0"/>
        <v>1.3409105081900725</v>
      </c>
      <c r="G35" s="175">
        <f t="shared" si="1"/>
        <v>0.59313236270117808</v>
      </c>
    </row>
    <row r="36" spans="1:7" x14ac:dyDescent="0.25">
      <c r="A36" s="185" t="s">
        <v>119</v>
      </c>
      <c r="B36" s="168">
        <v>145086.39999999999</v>
      </c>
      <c r="C36" s="168">
        <v>363873</v>
      </c>
      <c r="D36" s="168">
        <v>384334</v>
      </c>
      <c r="E36" s="168">
        <v>164966.78</v>
      </c>
      <c r="F36" s="170">
        <f t="shared" si="0"/>
        <v>1.1370244213103364</v>
      </c>
      <c r="G36" s="170">
        <f t="shared" si="1"/>
        <v>0.4292276509494346</v>
      </c>
    </row>
    <row r="37" spans="1:7" x14ac:dyDescent="0.25">
      <c r="A37" s="186" t="s">
        <v>120</v>
      </c>
      <c r="B37" s="173">
        <v>145086.39999999999</v>
      </c>
      <c r="C37" s="173">
        <v>363873</v>
      </c>
      <c r="D37" s="173">
        <v>384334</v>
      </c>
      <c r="E37" s="183">
        <v>164966.78</v>
      </c>
      <c r="F37" s="175">
        <f t="shared" si="0"/>
        <v>1.1370244213103364</v>
      </c>
      <c r="G37" s="175">
        <f t="shared" si="1"/>
        <v>0.4292276509494346</v>
      </c>
    </row>
    <row r="38" spans="1:7" x14ac:dyDescent="0.25">
      <c r="A38" s="185" t="s">
        <v>121</v>
      </c>
      <c r="B38" s="168">
        <v>326781.65000000002</v>
      </c>
      <c r="C38" s="168">
        <v>780701</v>
      </c>
      <c r="D38" s="168">
        <v>781945</v>
      </c>
      <c r="E38" s="168">
        <v>302072.28000000003</v>
      </c>
      <c r="F38" s="170">
        <f t="shared" si="0"/>
        <v>0.92438568689520972</v>
      </c>
      <c r="G38" s="170">
        <f t="shared" si="1"/>
        <v>0.38630885803988774</v>
      </c>
    </row>
    <row r="39" spans="1:7" x14ac:dyDescent="0.25">
      <c r="A39" s="185" t="s">
        <v>122</v>
      </c>
      <c r="B39" s="168">
        <v>62523.1</v>
      </c>
      <c r="C39" s="168">
        <v>126866</v>
      </c>
      <c r="D39" s="168">
        <v>134517</v>
      </c>
      <c r="E39" s="168">
        <v>62183.83</v>
      </c>
      <c r="F39" s="170">
        <f t="shared" si="0"/>
        <v>0.99457368556581494</v>
      </c>
      <c r="G39" s="170">
        <f t="shared" si="1"/>
        <v>0.46227487975497522</v>
      </c>
    </row>
    <row r="40" spans="1:7" x14ac:dyDescent="0.25">
      <c r="A40" s="186" t="s">
        <v>123</v>
      </c>
      <c r="B40" s="173">
        <v>31766.87</v>
      </c>
      <c r="C40" s="173">
        <f>54416+3053</f>
        <v>57469</v>
      </c>
      <c r="D40" s="173">
        <v>62469</v>
      </c>
      <c r="E40" s="183">
        <v>29866.23</v>
      </c>
      <c r="F40" s="175">
        <f t="shared" si="0"/>
        <v>0.94016911329318875</v>
      </c>
      <c r="G40" s="175">
        <f t="shared" si="1"/>
        <v>0.47809681602074627</v>
      </c>
    </row>
    <row r="41" spans="1:7" x14ac:dyDescent="0.25">
      <c r="A41" s="187" t="s">
        <v>124</v>
      </c>
      <c r="B41" s="173">
        <v>28636.31</v>
      </c>
      <c r="C41" s="173">
        <v>65814</v>
      </c>
      <c r="D41" s="173">
        <v>64141</v>
      </c>
      <c r="E41" s="183">
        <v>30942.89</v>
      </c>
      <c r="F41" s="175">
        <f t="shared" si="0"/>
        <v>1.080547388961776</v>
      </c>
      <c r="G41" s="175">
        <f t="shared" si="1"/>
        <v>0.48241982507288628</v>
      </c>
    </row>
    <row r="42" spans="1:7" x14ac:dyDescent="0.25">
      <c r="A42" s="187" t="s">
        <v>125</v>
      </c>
      <c r="B42" s="173">
        <v>2119.92</v>
      </c>
      <c r="C42" s="173">
        <v>3583</v>
      </c>
      <c r="D42" s="173">
        <v>7907</v>
      </c>
      <c r="E42" s="183">
        <v>1374.71</v>
      </c>
      <c r="F42" s="175">
        <f t="shared" si="0"/>
        <v>0.64847258387108953</v>
      </c>
      <c r="G42" s="175">
        <f t="shared" si="1"/>
        <v>0.17385987100037942</v>
      </c>
    </row>
    <row r="43" spans="1:7" x14ac:dyDescent="0.25">
      <c r="A43" s="185" t="s">
        <v>126</v>
      </c>
      <c r="B43" s="168">
        <v>186108.05</v>
      </c>
      <c r="C43" s="177">
        <v>469588</v>
      </c>
      <c r="D43" s="168">
        <v>469588</v>
      </c>
      <c r="E43" s="168">
        <v>161299.01</v>
      </c>
      <c r="F43" s="170">
        <f t="shared" si="0"/>
        <v>0.86669550296185482</v>
      </c>
      <c r="G43" s="170">
        <f t="shared" si="1"/>
        <v>0.34349048527645515</v>
      </c>
    </row>
    <row r="44" spans="1:7" x14ac:dyDescent="0.25">
      <c r="A44" s="186" t="s">
        <v>127</v>
      </c>
      <c r="B44" s="173">
        <v>6287.43</v>
      </c>
      <c r="C44" s="173">
        <v>28845</v>
      </c>
      <c r="D44" s="173">
        <v>28794</v>
      </c>
      <c r="E44" s="183">
        <v>9548.0300000000007</v>
      </c>
      <c r="F44" s="175">
        <f t="shared" si="0"/>
        <v>1.5185902666113182</v>
      </c>
      <c r="G44" s="175">
        <f t="shared" si="1"/>
        <v>0.33159790234076547</v>
      </c>
    </row>
    <row r="45" spans="1:7" x14ac:dyDescent="0.25">
      <c r="A45" s="186" t="s">
        <v>128</v>
      </c>
      <c r="B45" s="173">
        <v>30233.7</v>
      </c>
      <c r="C45" s="173">
        <v>120777</v>
      </c>
      <c r="D45" s="173">
        <v>130177</v>
      </c>
      <c r="E45" s="183">
        <v>49372.08</v>
      </c>
      <c r="F45" s="175">
        <f t="shared" si="0"/>
        <v>1.6330148145943104</v>
      </c>
      <c r="G45" s="175">
        <f t="shared" si="1"/>
        <v>0.37926884165405567</v>
      </c>
    </row>
    <row r="46" spans="1:7" x14ac:dyDescent="0.25">
      <c r="A46" s="186" t="s">
        <v>129</v>
      </c>
      <c r="B46" s="173">
        <v>139766.45000000001</v>
      </c>
      <c r="C46" s="173">
        <f>252173+33539</f>
        <v>285712</v>
      </c>
      <c r="D46" s="173">
        <v>274806</v>
      </c>
      <c r="E46" s="183">
        <v>76150.67</v>
      </c>
      <c r="F46" s="175">
        <f t="shared" si="0"/>
        <v>0.54484227080247083</v>
      </c>
      <c r="G46" s="175">
        <f t="shared" si="1"/>
        <v>0.27710701367510171</v>
      </c>
    </row>
    <row r="47" spans="1:7" x14ac:dyDescent="0.25">
      <c r="A47" s="186" t="s">
        <v>130</v>
      </c>
      <c r="B47" s="173">
        <v>3125.74</v>
      </c>
      <c r="C47" s="173">
        <v>24553</v>
      </c>
      <c r="D47" s="173">
        <v>24555</v>
      </c>
      <c r="E47" s="183">
        <v>18935.599999999999</v>
      </c>
      <c r="F47" s="175">
        <f t="shared" si="0"/>
        <v>6.0579574756697614</v>
      </c>
      <c r="G47" s="175">
        <f t="shared" si="1"/>
        <v>0.77115047851761342</v>
      </c>
    </row>
    <row r="48" spans="1:7" x14ac:dyDescent="0.25">
      <c r="A48" s="186" t="s">
        <v>131</v>
      </c>
      <c r="B48" s="173">
        <v>5714.52</v>
      </c>
      <c r="C48" s="173">
        <f>2922+2653</f>
        <v>5575</v>
      </c>
      <c r="D48" s="173">
        <v>6877</v>
      </c>
      <c r="E48" s="183">
        <v>7066.95</v>
      </c>
      <c r="F48" s="175">
        <f t="shared" si="0"/>
        <v>1.2366655467125847</v>
      </c>
      <c r="G48" s="175">
        <f t="shared" si="1"/>
        <v>1.0276210556928893</v>
      </c>
    </row>
    <row r="49" spans="1:7" x14ac:dyDescent="0.25">
      <c r="A49" s="186" t="s">
        <v>132</v>
      </c>
      <c r="B49" s="173">
        <v>980.21</v>
      </c>
      <c r="C49" s="173">
        <f>3981+398</f>
        <v>4379</v>
      </c>
      <c r="D49" s="173">
        <v>4379</v>
      </c>
      <c r="E49" s="183">
        <v>225.68</v>
      </c>
      <c r="F49" s="175">
        <f t="shared" si="0"/>
        <v>0.23023637791901735</v>
      </c>
      <c r="G49" s="175">
        <f t="shared" si="1"/>
        <v>5.1536880566339351E-2</v>
      </c>
    </row>
    <row r="50" spans="1:7" x14ac:dyDescent="0.25">
      <c r="A50" s="185" t="s">
        <v>133</v>
      </c>
      <c r="B50" s="168">
        <v>76081.06</v>
      </c>
      <c r="C50" s="168">
        <v>173818</v>
      </c>
      <c r="D50" s="168">
        <v>187417</v>
      </c>
      <c r="E50" s="168">
        <v>73763.48</v>
      </c>
      <c r="F50" s="170">
        <f t="shared" si="0"/>
        <v>0.96953801642616444</v>
      </c>
      <c r="G50" s="170">
        <f t="shared" si="1"/>
        <v>0.39357945117038473</v>
      </c>
    </row>
    <row r="51" spans="1:7" x14ac:dyDescent="0.25">
      <c r="A51" s="186" t="s">
        <v>134</v>
      </c>
      <c r="B51" s="173">
        <v>7416.37</v>
      </c>
      <c r="C51" s="173">
        <f>9290+6106</f>
        <v>15396</v>
      </c>
      <c r="D51" s="173">
        <v>15395</v>
      </c>
      <c r="E51" s="183">
        <v>6862.11</v>
      </c>
      <c r="F51" s="175">
        <f t="shared" si="0"/>
        <v>0.92526532521975036</v>
      </c>
      <c r="G51" s="175">
        <f t="shared" si="1"/>
        <v>0.44573627801234167</v>
      </c>
    </row>
    <row r="52" spans="1:7" x14ac:dyDescent="0.25">
      <c r="A52" s="186" t="s">
        <v>135</v>
      </c>
      <c r="B52" s="173">
        <v>15239.2</v>
      </c>
      <c r="C52" s="173">
        <v>42339</v>
      </c>
      <c r="D52" s="173">
        <v>42074</v>
      </c>
      <c r="E52" s="173">
        <v>13584.58</v>
      </c>
      <c r="F52" s="175">
        <f t="shared" si="0"/>
        <v>0.89142343430101312</v>
      </c>
      <c r="G52" s="175">
        <f t="shared" si="1"/>
        <v>0.32287350858012076</v>
      </c>
    </row>
    <row r="53" spans="1:7" x14ac:dyDescent="0.25">
      <c r="A53" s="186" t="s">
        <v>136</v>
      </c>
      <c r="B53" s="173">
        <v>2914.33</v>
      </c>
      <c r="C53" s="173">
        <v>10618</v>
      </c>
      <c r="D53" s="173">
        <v>1594</v>
      </c>
      <c r="E53" s="173">
        <v>1937.31</v>
      </c>
      <c r="F53" s="175">
        <f t="shared" si="0"/>
        <v>0.66475313365336119</v>
      </c>
      <c r="G53" s="175">
        <f>E53/D53</f>
        <v>1.2153764115432872</v>
      </c>
    </row>
    <row r="54" spans="1:7" x14ac:dyDescent="0.25">
      <c r="A54" s="186" t="s">
        <v>137</v>
      </c>
      <c r="B54" s="173">
        <v>13733.98</v>
      </c>
      <c r="C54" s="173">
        <v>26146</v>
      </c>
      <c r="D54" s="173">
        <v>35436</v>
      </c>
      <c r="E54" s="173">
        <v>10424.299999999999</v>
      </c>
      <c r="F54" s="175">
        <f t="shared" si="0"/>
        <v>0.75901523083621791</v>
      </c>
      <c r="G54" s="175">
        <f t="shared" si="1"/>
        <v>0.29417259284343605</v>
      </c>
    </row>
    <row r="55" spans="1:7" x14ac:dyDescent="0.25">
      <c r="A55" s="186" t="s">
        <v>138</v>
      </c>
      <c r="B55" s="173">
        <v>25090.68</v>
      </c>
      <c r="C55" s="173">
        <v>54751</v>
      </c>
      <c r="D55" s="173">
        <v>57423</v>
      </c>
      <c r="E55" s="173">
        <v>28050.12</v>
      </c>
      <c r="F55" s="175">
        <f t="shared" si="0"/>
        <v>1.1179497725848802</v>
      </c>
      <c r="G55" s="175">
        <f t="shared" si="1"/>
        <v>0.48848231544851367</v>
      </c>
    </row>
    <row r="56" spans="1:7" x14ac:dyDescent="0.25">
      <c r="A56" s="186" t="s">
        <v>139</v>
      </c>
      <c r="B56" s="173">
        <v>1352.67</v>
      </c>
      <c r="C56" s="188">
        <v>11892</v>
      </c>
      <c r="D56" s="173">
        <v>12818</v>
      </c>
      <c r="E56" s="173">
        <v>1257.67</v>
      </c>
      <c r="F56" s="175">
        <f t="shared" si="0"/>
        <v>0.92976853186660458</v>
      </c>
      <c r="G56" s="175">
        <f t="shared" si="1"/>
        <v>9.8117491028241535E-2</v>
      </c>
    </row>
    <row r="57" spans="1:7" x14ac:dyDescent="0.25">
      <c r="A57" s="186" t="s">
        <v>140</v>
      </c>
      <c r="B57" s="173">
        <v>7852.93</v>
      </c>
      <c r="C57" s="188">
        <f>4246+1991</f>
        <v>6237</v>
      </c>
      <c r="D57" s="173">
        <v>16238</v>
      </c>
      <c r="E57" s="173">
        <v>8576.15</v>
      </c>
      <c r="F57" s="175">
        <f t="shared" si="0"/>
        <v>1.0920955617839456</v>
      </c>
      <c r="G57" s="175">
        <f t="shared" si="1"/>
        <v>0.52815309767212704</v>
      </c>
    </row>
    <row r="58" spans="1:7" x14ac:dyDescent="0.25">
      <c r="A58" s="186" t="s">
        <v>141</v>
      </c>
      <c r="B58" s="173">
        <v>500.2</v>
      </c>
      <c r="C58" s="188">
        <f>2+1062</f>
        <v>1064</v>
      </c>
      <c r="D58" s="173">
        <v>1064</v>
      </c>
      <c r="E58" s="173">
        <v>1368.3</v>
      </c>
      <c r="F58" s="175">
        <f t="shared" si="0"/>
        <v>2.7355057976809274</v>
      </c>
      <c r="G58" s="175">
        <f t="shared" si="1"/>
        <v>1.2859962406015037</v>
      </c>
    </row>
    <row r="59" spans="1:7" x14ac:dyDescent="0.25">
      <c r="A59" s="186" t="s">
        <v>142</v>
      </c>
      <c r="B59" s="173">
        <v>1980.7</v>
      </c>
      <c r="C59" s="188">
        <f>3982+1393</f>
        <v>5375</v>
      </c>
      <c r="D59" s="173">
        <v>5375</v>
      </c>
      <c r="E59" s="173">
        <v>1702.94</v>
      </c>
      <c r="F59" s="175">
        <f t="shared" si="0"/>
        <v>0.85976674912909579</v>
      </c>
      <c r="G59" s="175">
        <f t="shared" si="1"/>
        <v>0.31682604651162793</v>
      </c>
    </row>
    <row r="60" spans="1:7" x14ac:dyDescent="0.25">
      <c r="A60" s="185" t="s">
        <v>143</v>
      </c>
      <c r="B60" s="168">
        <f>SUM(B61:B66)</f>
        <v>2069.4399999999996</v>
      </c>
      <c r="C60" s="168">
        <v>10220</v>
      </c>
      <c r="D60" s="168">
        <v>11723</v>
      </c>
      <c r="E60" s="168">
        <v>4825.96</v>
      </c>
      <c r="F60" s="170">
        <f t="shared" si="0"/>
        <v>2.3320125251275714</v>
      </c>
      <c r="G60" s="170">
        <f>E60/D60</f>
        <v>0.41166595581335835</v>
      </c>
    </row>
    <row r="61" spans="1:7" x14ac:dyDescent="0.25">
      <c r="A61" s="184" t="s">
        <v>170</v>
      </c>
      <c r="B61" s="173">
        <v>0</v>
      </c>
      <c r="C61" s="188">
        <v>1088</v>
      </c>
      <c r="D61" s="183">
        <v>1088</v>
      </c>
      <c r="E61" s="183">
        <v>0</v>
      </c>
      <c r="F61" s="175">
        <v>0</v>
      </c>
      <c r="G61" s="175">
        <f t="shared" si="1"/>
        <v>0</v>
      </c>
    </row>
    <row r="62" spans="1:7" x14ac:dyDescent="0.25">
      <c r="A62" s="186" t="s">
        <v>144</v>
      </c>
      <c r="B62" s="173">
        <v>0</v>
      </c>
      <c r="C62" s="188">
        <f>2124+3318</f>
        <v>5442</v>
      </c>
      <c r="D62" s="188">
        <v>5442</v>
      </c>
      <c r="E62" s="173">
        <v>2476.92</v>
      </c>
      <c r="F62" s="175">
        <v>0</v>
      </c>
      <c r="G62" s="175">
        <f t="shared" si="1"/>
        <v>0.45514884233737596</v>
      </c>
    </row>
    <row r="63" spans="1:7" x14ac:dyDescent="0.25">
      <c r="A63" s="186" t="s">
        <v>145</v>
      </c>
      <c r="B63" s="173">
        <v>1209.8599999999999</v>
      </c>
      <c r="C63" s="188">
        <v>664</v>
      </c>
      <c r="D63" s="173">
        <v>2164</v>
      </c>
      <c r="E63" s="173">
        <v>1405.48</v>
      </c>
      <c r="F63" s="175">
        <f t="shared" si="0"/>
        <v>1.1616881292050321</v>
      </c>
      <c r="G63" s="175">
        <f t="shared" si="1"/>
        <v>0.6494824399260628</v>
      </c>
    </row>
    <row r="64" spans="1:7" x14ac:dyDescent="0.25">
      <c r="A64" s="186" t="s">
        <v>146</v>
      </c>
      <c r="B64" s="173">
        <v>12.47</v>
      </c>
      <c r="C64" s="173">
        <v>969</v>
      </c>
      <c r="D64" s="174">
        <v>969</v>
      </c>
      <c r="E64" s="173">
        <v>535</v>
      </c>
      <c r="F64" s="175">
        <v>0</v>
      </c>
      <c r="G64" s="175">
        <f t="shared" si="1"/>
        <v>0.55211558307533537</v>
      </c>
    </row>
    <row r="65" spans="1:7" x14ac:dyDescent="0.25">
      <c r="A65" s="186" t="s">
        <v>171</v>
      </c>
      <c r="B65" s="173">
        <v>636.41</v>
      </c>
      <c r="C65" s="173">
        <v>199</v>
      </c>
      <c r="D65" s="174">
        <v>199</v>
      </c>
      <c r="E65" s="173">
        <v>0</v>
      </c>
      <c r="F65" s="175">
        <f t="shared" si="0"/>
        <v>0</v>
      </c>
      <c r="G65" s="175">
        <f t="shared" si="1"/>
        <v>0</v>
      </c>
    </row>
    <row r="66" spans="1:7" x14ac:dyDescent="0.25">
      <c r="A66" s="172" t="s">
        <v>172</v>
      </c>
      <c r="B66" s="173">
        <v>210.7</v>
      </c>
      <c r="C66" s="173">
        <v>1858</v>
      </c>
      <c r="D66" s="188">
        <v>1861</v>
      </c>
      <c r="E66" s="173">
        <v>0</v>
      </c>
      <c r="F66" s="175">
        <f t="shared" si="0"/>
        <v>0</v>
      </c>
      <c r="G66" s="175">
        <f t="shared" si="1"/>
        <v>0</v>
      </c>
    </row>
    <row r="67" spans="1:7" x14ac:dyDescent="0.25">
      <c r="A67" s="185" t="s">
        <v>147</v>
      </c>
      <c r="B67" s="168">
        <v>742.41</v>
      </c>
      <c r="C67" s="168">
        <f>1394+1061</f>
        <v>2455</v>
      </c>
      <c r="D67" s="168">
        <v>2930</v>
      </c>
      <c r="E67" s="168">
        <v>885.33</v>
      </c>
      <c r="F67" s="170">
        <f t="shared" si="0"/>
        <v>1.1925081828100377</v>
      </c>
      <c r="G67" s="170">
        <f t="shared" si="1"/>
        <v>0.30216040955631401</v>
      </c>
    </row>
    <row r="68" spans="1:7" x14ac:dyDescent="0.25">
      <c r="A68" s="185" t="s">
        <v>148</v>
      </c>
      <c r="B68" s="168">
        <v>742.41</v>
      </c>
      <c r="C68" s="168">
        <v>2455</v>
      </c>
      <c r="D68" s="168">
        <v>2930</v>
      </c>
      <c r="E68" s="168">
        <v>885.33</v>
      </c>
      <c r="F68" s="170">
        <f t="shared" si="0"/>
        <v>1.1925081828100377</v>
      </c>
      <c r="G68" s="170">
        <f t="shared" si="1"/>
        <v>0.30216040955631401</v>
      </c>
    </row>
    <row r="69" spans="1:7" x14ac:dyDescent="0.25">
      <c r="A69" s="186" t="s">
        <v>149</v>
      </c>
      <c r="B69" s="173">
        <v>705.38</v>
      </c>
      <c r="C69" s="173">
        <v>1991</v>
      </c>
      <c r="D69" s="173">
        <v>2467</v>
      </c>
      <c r="E69" s="173">
        <v>855.33</v>
      </c>
      <c r="F69" s="175">
        <f t="shared" si="0"/>
        <v>1.2125804530891151</v>
      </c>
      <c r="G69" s="175">
        <f t="shared" si="1"/>
        <v>0.34670855289825703</v>
      </c>
    </row>
    <row r="70" spans="1:7" x14ac:dyDescent="0.25">
      <c r="A70" s="186" t="s">
        <v>173</v>
      </c>
      <c r="B70" s="173">
        <v>37.03</v>
      </c>
      <c r="C70" s="173">
        <v>66</v>
      </c>
      <c r="D70" s="173">
        <v>65</v>
      </c>
      <c r="E70" s="173">
        <v>0</v>
      </c>
      <c r="F70" s="175">
        <f t="shared" ref="F70:F92" si="2">E70/B70</f>
        <v>0</v>
      </c>
      <c r="G70" s="175">
        <f t="shared" ref="G70:G78" si="3">E70/D70</f>
        <v>0</v>
      </c>
    </row>
    <row r="71" spans="1:7" x14ac:dyDescent="0.25">
      <c r="A71" s="186" t="s">
        <v>174</v>
      </c>
      <c r="B71" s="173">
        <v>0</v>
      </c>
      <c r="C71" s="173">
        <v>398</v>
      </c>
      <c r="D71" s="173">
        <v>398</v>
      </c>
      <c r="E71" s="173">
        <v>0</v>
      </c>
      <c r="F71" s="175">
        <v>0</v>
      </c>
      <c r="G71" s="175">
        <f t="shared" si="3"/>
        <v>0</v>
      </c>
    </row>
    <row r="72" spans="1:7" x14ac:dyDescent="0.25">
      <c r="A72" s="185" t="s">
        <v>151</v>
      </c>
      <c r="B72" s="171">
        <v>0</v>
      </c>
      <c r="C72" s="171">
        <v>0</v>
      </c>
      <c r="D72" s="171">
        <v>0</v>
      </c>
      <c r="E72" s="168">
        <v>864.2</v>
      </c>
      <c r="F72" s="170">
        <v>0</v>
      </c>
      <c r="G72" s="170">
        <v>0</v>
      </c>
    </row>
    <row r="73" spans="1:7" x14ac:dyDescent="0.25">
      <c r="A73" s="185" t="s">
        <v>150</v>
      </c>
      <c r="B73" s="173">
        <v>0</v>
      </c>
      <c r="C73" s="173">
        <v>0</v>
      </c>
      <c r="D73" s="173">
        <v>0</v>
      </c>
      <c r="E73" s="168">
        <v>864.2</v>
      </c>
      <c r="F73" s="170">
        <v>0</v>
      </c>
      <c r="G73" s="170">
        <v>0</v>
      </c>
    </row>
    <row r="74" spans="1:7" x14ac:dyDescent="0.25">
      <c r="A74" s="186" t="s">
        <v>152</v>
      </c>
      <c r="B74" s="173">
        <v>0</v>
      </c>
      <c r="C74" s="173">
        <v>0</v>
      </c>
      <c r="D74" s="173">
        <v>0</v>
      </c>
      <c r="E74" s="183">
        <v>864.2</v>
      </c>
      <c r="F74" s="175">
        <v>0</v>
      </c>
      <c r="G74" s="175">
        <v>0</v>
      </c>
    </row>
    <row r="75" spans="1:7" x14ac:dyDescent="0.25">
      <c r="A75" s="185" t="s">
        <v>153</v>
      </c>
      <c r="B75" s="168">
        <v>15270.91</v>
      </c>
      <c r="C75" s="168">
        <v>47265</v>
      </c>
      <c r="D75" s="168">
        <v>47265</v>
      </c>
      <c r="E75" s="168">
        <v>18743.32</v>
      </c>
      <c r="F75" s="170">
        <f t="shared" si="2"/>
        <v>1.2273872349453963</v>
      </c>
      <c r="G75" s="170">
        <f t="shared" si="3"/>
        <v>0.39655812969427695</v>
      </c>
    </row>
    <row r="76" spans="1:7" x14ac:dyDescent="0.25">
      <c r="A76" s="185" t="s">
        <v>154</v>
      </c>
      <c r="B76" s="168">
        <v>15270.91</v>
      </c>
      <c r="C76" s="168">
        <v>46453</v>
      </c>
      <c r="D76" s="168">
        <v>47265</v>
      </c>
      <c r="E76" s="168">
        <v>18743.32</v>
      </c>
      <c r="F76" s="170">
        <f t="shared" si="2"/>
        <v>1.2273872349453963</v>
      </c>
      <c r="G76" s="170">
        <f t="shared" si="3"/>
        <v>0.39655812969427695</v>
      </c>
    </row>
    <row r="77" spans="1:7" x14ac:dyDescent="0.25">
      <c r="A77" s="187" t="s">
        <v>155</v>
      </c>
      <c r="B77" s="173">
        <v>2681.37</v>
      </c>
      <c r="C77" s="173">
        <v>13273</v>
      </c>
      <c r="D77" s="173">
        <v>14085</v>
      </c>
      <c r="E77" s="183">
        <v>5412.37</v>
      </c>
      <c r="F77" s="175">
        <f t="shared" si="2"/>
        <v>2.0185091949264744</v>
      </c>
      <c r="G77" s="175">
        <f t="shared" si="3"/>
        <v>0.38426482073127438</v>
      </c>
    </row>
    <row r="78" spans="1:7" x14ac:dyDescent="0.25">
      <c r="A78" s="187" t="s">
        <v>156</v>
      </c>
      <c r="B78" s="173">
        <v>12589.54</v>
      </c>
      <c r="C78" s="173">
        <v>33180</v>
      </c>
      <c r="D78" s="173">
        <v>33180</v>
      </c>
      <c r="E78" s="183">
        <v>13330.95</v>
      </c>
      <c r="F78" s="175">
        <f t="shared" si="2"/>
        <v>1.0588909523302679</v>
      </c>
      <c r="G78" s="175">
        <f t="shared" si="3"/>
        <v>0.40177667269439421</v>
      </c>
    </row>
    <row r="79" spans="1:7" x14ac:dyDescent="0.25">
      <c r="A79" s="186"/>
      <c r="B79" s="186"/>
      <c r="C79" s="186"/>
      <c r="D79" s="186"/>
      <c r="E79" s="186"/>
      <c r="F79" s="186"/>
      <c r="G79" s="186"/>
    </row>
    <row r="80" spans="1:7" x14ac:dyDescent="0.25">
      <c r="A80" s="185" t="s">
        <v>157</v>
      </c>
      <c r="B80" s="168">
        <f>B81+B84+B90</f>
        <v>95095.65</v>
      </c>
      <c r="C80" s="168">
        <v>32700</v>
      </c>
      <c r="D80" s="168">
        <v>110900</v>
      </c>
      <c r="E80" s="168">
        <v>115173.52</v>
      </c>
      <c r="F80" s="170">
        <f t="shared" si="2"/>
        <v>1.2111334219809213</v>
      </c>
      <c r="G80" s="170">
        <f>E80/D80</f>
        <v>1.0385348963029757</v>
      </c>
    </row>
    <row r="81" spans="1:7" x14ac:dyDescent="0.25">
      <c r="A81" s="185" t="s">
        <v>158</v>
      </c>
      <c r="B81" s="168">
        <v>0</v>
      </c>
      <c r="C81" s="171">
        <v>183</v>
      </c>
      <c r="D81" s="171">
        <v>183</v>
      </c>
      <c r="E81" s="171">
        <v>183</v>
      </c>
      <c r="F81" s="170">
        <v>0</v>
      </c>
      <c r="G81" s="170">
        <f t="shared" ref="G81:G92" si="4">E81/D81</f>
        <v>1</v>
      </c>
    </row>
    <row r="82" spans="1:7" x14ac:dyDescent="0.25">
      <c r="A82" s="185" t="s">
        <v>159</v>
      </c>
      <c r="B82" s="168">
        <v>0</v>
      </c>
      <c r="C82" s="171">
        <v>183</v>
      </c>
      <c r="D82" s="171">
        <v>183</v>
      </c>
      <c r="E82" s="171">
        <v>183</v>
      </c>
      <c r="F82" s="170">
        <v>0</v>
      </c>
      <c r="G82" s="170">
        <f t="shared" si="4"/>
        <v>1</v>
      </c>
    </row>
    <row r="83" spans="1:7" x14ac:dyDescent="0.25">
      <c r="A83" s="187" t="s">
        <v>160</v>
      </c>
      <c r="B83" s="174">
        <v>0</v>
      </c>
      <c r="C83" s="174">
        <v>183</v>
      </c>
      <c r="D83" s="174">
        <v>183</v>
      </c>
      <c r="E83" s="174">
        <v>183</v>
      </c>
      <c r="F83" s="175">
        <v>0</v>
      </c>
      <c r="G83" s="175">
        <f t="shared" si="4"/>
        <v>1</v>
      </c>
    </row>
    <row r="84" spans="1:7" x14ac:dyDescent="0.25">
      <c r="A84" s="185" t="s">
        <v>161</v>
      </c>
      <c r="B84" s="168">
        <v>86228.42</v>
      </c>
      <c r="C84" s="168">
        <v>5972</v>
      </c>
      <c r="D84" s="168">
        <v>84172</v>
      </c>
      <c r="E84" s="168">
        <v>112499.27</v>
      </c>
      <c r="F84" s="170">
        <f t="shared" si="2"/>
        <v>1.3046657934820098</v>
      </c>
      <c r="G84" s="170">
        <f t="shared" si="4"/>
        <v>1.3365402984365347</v>
      </c>
    </row>
    <row r="85" spans="1:7" x14ac:dyDescent="0.25">
      <c r="A85" s="185" t="s">
        <v>162</v>
      </c>
      <c r="B85" s="168">
        <v>86228.42</v>
      </c>
      <c r="C85" s="168">
        <v>5972</v>
      </c>
      <c r="D85" s="168">
        <v>84172</v>
      </c>
      <c r="E85" s="168">
        <v>92820.58</v>
      </c>
      <c r="F85" s="170">
        <f t="shared" si="2"/>
        <v>1.0764499685834439</v>
      </c>
      <c r="G85" s="170">
        <f t="shared" si="4"/>
        <v>1.1027488951195172</v>
      </c>
    </row>
    <row r="86" spans="1:7" x14ac:dyDescent="0.25">
      <c r="A86" s="187" t="s">
        <v>163</v>
      </c>
      <c r="B86" s="173">
        <v>32745.8</v>
      </c>
      <c r="C86" s="174">
        <v>2654</v>
      </c>
      <c r="D86" s="173">
        <v>11154</v>
      </c>
      <c r="E86" s="173">
        <v>10236.1</v>
      </c>
      <c r="F86" s="175">
        <f t="shared" si="2"/>
        <v>0.31259275998754038</v>
      </c>
      <c r="G86" s="175">
        <f t="shared" si="4"/>
        <v>0.91770665232203696</v>
      </c>
    </row>
    <row r="87" spans="1:7" x14ac:dyDescent="0.25">
      <c r="A87" s="187" t="s">
        <v>164</v>
      </c>
      <c r="B87" s="173">
        <v>53482.62</v>
      </c>
      <c r="C87" s="174">
        <v>3318</v>
      </c>
      <c r="D87" s="173">
        <v>53318</v>
      </c>
      <c r="E87" s="173">
        <v>82584.479999999996</v>
      </c>
      <c r="F87" s="175">
        <f t="shared" si="2"/>
        <v>1.5441367681687994</v>
      </c>
      <c r="G87" s="175">
        <f t="shared" si="4"/>
        <v>1.5489043099891218</v>
      </c>
    </row>
    <row r="88" spans="1:7" x14ac:dyDescent="0.25">
      <c r="A88" s="185" t="s">
        <v>165</v>
      </c>
      <c r="B88" s="171">
        <v>0</v>
      </c>
      <c r="C88" s="171">
        <v>0</v>
      </c>
      <c r="D88" s="168">
        <v>19700</v>
      </c>
      <c r="E88" s="168">
        <v>19678.689999999999</v>
      </c>
      <c r="F88" s="170">
        <v>0</v>
      </c>
      <c r="G88" s="170">
        <f t="shared" si="4"/>
        <v>0.99891827411167511</v>
      </c>
    </row>
    <row r="89" spans="1:7" x14ac:dyDescent="0.25">
      <c r="A89" s="187" t="s">
        <v>166</v>
      </c>
      <c r="B89" s="180">
        <v>0</v>
      </c>
      <c r="C89" s="180">
        <v>0</v>
      </c>
      <c r="D89" s="183">
        <v>19700</v>
      </c>
      <c r="E89" s="183">
        <v>19678.689999999999</v>
      </c>
      <c r="F89" s="175">
        <v>0</v>
      </c>
      <c r="G89" s="175">
        <f t="shared" si="4"/>
        <v>0.99891827411167511</v>
      </c>
    </row>
    <row r="90" spans="1:7" x14ac:dyDescent="0.25">
      <c r="A90" s="185" t="s">
        <v>167</v>
      </c>
      <c r="B90" s="168">
        <v>8867.23</v>
      </c>
      <c r="C90" s="168">
        <v>26545</v>
      </c>
      <c r="D90" s="168">
        <v>26545</v>
      </c>
      <c r="E90" s="168">
        <v>2491.25</v>
      </c>
      <c r="F90" s="170">
        <f t="shared" si="2"/>
        <v>0.28095019526954867</v>
      </c>
      <c r="G90" s="170">
        <f t="shared" si="4"/>
        <v>9.3850065925786402E-2</v>
      </c>
    </row>
    <row r="91" spans="1:7" x14ac:dyDescent="0.25">
      <c r="A91" s="185" t="s">
        <v>169</v>
      </c>
      <c r="B91" s="168">
        <v>8867.23</v>
      </c>
      <c r="C91" s="168">
        <v>26545</v>
      </c>
      <c r="D91" s="168">
        <v>26545</v>
      </c>
      <c r="E91" s="168">
        <v>2491.25</v>
      </c>
      <c r="F91" s="170">
        <f t="shared" si="2"/>
        <v>0.28095019526954867</v>
      </c>
      <c r="G91" s="170">
        <f t="shared" si="4"/>
        <v>9.3850065925786402E-2</v>
      </c>
    </row>
    <row r="92" spans="1:7" x14ac:dyDescent="0.25">
      <c r="A92" s="187" t="s">
        <v>168</v>
      </c>
      <c r="B92" s="183">
        <v>8867.23</v>
      </c>
      <c r="C92" s="183">
        <v>26545</v>
      </c>
      <c r="D92" s="183">
        <v>26545</v>
      </c>
      <c r="E92" s="183">
        <v>2491.25</v>
      </c>
      <c r="F92" s="175">
        <f t="shared" si="2"/>
        <v>0.28095019526954867</v>
      </c>
      <c r="G92" s="175">
        <f t="shared" si="4"/>
        <v>9.3850065925786402E-2</v>
      </c>
    </row>
  </sheetData>
  <mergeCells count="1">
    <mergeCell ref="B1:G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7"/>
  <sheetViews>
    <sheetView workbookViewId="0">
      <selection activeCell="G98" sqref="G98"/>
    </sheetView>
  </sheetViews>
  <sheetFormatPr defaultRowHeight="15" x14ac:dyDescent="0.25"/>
  <cols>
    <col min="1" max="1" width="13" customWidth="1"/>
    <col min="2" max="2" width="21.85546875" customWidth="1"/>
    <col min="3" max="3" width="11.85546875" customWidth="1"/>
    <col min="4" max="4" width="11.5703125" customWidth="1"/>
    <col min="5" max="5" width="14.5703125" customWidth="1"/>
    <col min="6" max="6" width="16.7109375" customWidth="1"/>
    <col min="7" max="7" width="16" customWidth="1"/>
    <col min="8" max="8" width="12.5703125" customWidth="1"/>
    <col min="9" max="9" width="10" bestFit="1" customWidth="1"/>
  </cols>
  <sheetData>
    <row r="1" spans="1:14" ht="15" customHeight="1" x14ac:dyDescent="0.25">
      <c r="A1" s="209" t="s">
        <v>183</v>
      </c>
      <c r="B1" s="210"/>
      <c r="C1" s="107"/>
      <c r="D1" s="107"/>
      <c r="E1" s="107"/>
    </row>
    <row r="2" spans="1:14" ht="15" customHeight="1" x14ac:dyDescent="0.25">
      <c r="A2" s="195" t="s">
        <v>184</v>
      </c>
      <c r="B2" s="195"/>
      <c r="C2" s="195"/>
      <c r="D2" s="195"/>
      <c r="E2" s="195"/>
      <c r="F2" s="195"/>
      <c r="G2" s="195"/>
      <c r="H2" s="212"/>
      <c r="I2" s="212"/>
      <c r="J2" s="212"/>
      <c r="K2" s="212"/>
      <c r="L2" s="212"/>
      <c r="M2" s="7"/>
      <c r="N2" s="7"/>
    </row>
    <row r="3" spans="1:14" x14ac:dyDescent="0.25">
      <c r="A3" s="195"/>
      <c r="B3" s="195"/>
      <c r="C3" s="195"/>
      <c r="D3" s="195"/>
      <c r="E3" s="195"/>
      <c r="F3" s="195"/>
      <c r="G3" s="195"/>
    </row>
    <row r="4" spans="1:14" ht="3.75" customHeight="1" x14ac:dyDescent="0.25">
      <c r="A4" s="195"/>
      <c r="B4" s="195"/>
      <c r="C4" s="195"/>
      <c r="D4" s="195"/>
      <c r="E4" s="195"/>
      <c r="F4" s="195"/>
      <c r="G4" s="195"/>
    </row>
    <row r="5" spans="1:14" hidden="1" x14ac:dyDescent="0.25">
      <c r="A5" s="195"/>
      <c r="B5" s="195"/>
      <c r="C5" s="195"/>
      <c r="D5" s="195"/>
      <c r="E5" s="195"/>
      <c r="F5" s="195"/>
      <c r="G5" s="195"/>
    </row>
    <row r="6" spans="1:14" ht="35.25" customHeight="1" x14ac:dyDescent="0.25">
      <c r="A6" s="60" t="s">
        <v>17</v>
      </c>
      <c r="B6" s="60"/>
      <c r="C6" s="211" t="s">
        <v>15</v>
      </c>
      <c r="D6" s="211"/>
      <c r="E6" s="211"/>
      <c r="F6" s="211"/>
      <c r="G6" s="211"/>
      <c r="H6" s="211"/>
      <c r="I6" s="62"/>
    </row>
    <row r="7" spans="1:14" x14ac:dyDescent="0.25">
      <c r="A7" s="198" t="s">
        <v>18</v>
      </c>
      <c r="B7" s="198"/>
      <c r="C7" s="215" t="s">
        <v>28</v>
      </c>
      <c r="D7" s="215"/>
      <c r="E7" s="215"/>
      <c r="F7" s="215"/>
      <c r="G7" s="215"/>
      <c r="H7" s="215"/>
      <c r="I7" s="215"/>
    </row>
    <row r="8" spans="1:14" ht="15.75" thickBot="1" x14ac:dyDescent="0.3">
      <c r="A8" s="206" t="s">
        <v>32</v>
      </c>
      <c r="B8" s="206"/>
      <c r="C8" s="7"/>
      <c r="D8" s="7"/>
      <c r="E8" s="7"/>
      <c r="F8" s="7"/>
      <c r="G8" s="76" t="s">
        <v>177</v>
      </c>
      <c r="I8" s="76"/>
    </row>
    <row r="9" spans="1:14" ht="15" customHeight="1" x14ac:dyDescent="0.25">
      <c r="A9" s="207" t="s">
        <v>0</v>
      </c>
      <c r="B9" s="216" t="s">
        <v>1</v>
      </c>
      <c r="C9" s="216" t="s">
        <v>2</v>
      </c>
      <c r="D9" s="216" t="s">
        <v>3</v>
      </c>
      <c r="E9" s="216" t="s">
        <v>4</v>
      </c>
      <c r="F9" s="207" t="s">
        <v>5</v>
      </c>
      <c r="G9" s="207" t="s">
        <v>78</v>
      </c>
    </row>
    <row r="10" spans="1:14" ht="15.75" thickBot="1" x14ac:dyDescent="0.3">
      <c r="A10" s="208"/>
      <c r="B10" s="217"/>
      <c r="C10" s="217"/>
      <c r="D10" s="217"/>
      <c r="E10" s="217"/>
      <c r="F10" s="208"/>
      <c r="G10" s="208"/>
    </row>
    <row r="11" spans="1:14" ht="15.75" thickBot="1" x14ac:dyDescent="0.3">
      <c r="A11" s="3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</row>
    <row r="12" spans="1:14" ht="15.75" thickBot="1" x14ac:dyDescent="0.3">
      <c r="A12" s="69">
        <v>311</v>
      </c>
      <c r="B12" s="70" t="s">
        <v>6</v>
      </c>
      <c r="C12" s="43">
        <v>2152233</v>
      </c>
      <c r="D12" s="80">
        <f>E12-C12</f>
        <v>161151</v>
      </c>
      <c r="E12" s="43">
        <v>2313384</v>
      </c>
      <c r="F12" s="91">
        <v>1150942.53</v>
      </c>
      <c r="G12" s="88">
        <f t="shared" ref="G12:G49" si="0">(F12/E12)*100</f>
        <v>49.751469276177239</v>
      </c>
    </row>
    <row r="13" spans="1:14" ht="15.75" thickBot="1" x14ac:dyDescent="0.3">
      <c r="A13" s="128">
        <v>3111</v>
      </c>
      <c r="B13" s="129" t="s">
        <v>212</v>
      </c>
      <c r="C13" s="43">
        <v>1738138</v>
      </c>
      <c r="D13" s="80">
        <f t="shared" ref="D13:D15" si="1">E13-C13</f>
        <v>127551</v>
      </c>
      <c r="E13" s="43">
        <v>1865689</v>
      </c>
      <c r="F13" s="91">
        <v>925466</v>
      </c>
      <c r="G13" s="88">
        <f t="shared" si="0"/>
        <v>49.604516079582396</v>
      </c>
    </row>
    <row r="14" spans="1:14" ht="15.75" thickBot="1" x14ac:dyDescent="0.3">
      <c r="A14" s="128">
        <v>3113</v>
      </c>
      <c r="B14" s="129" t="s">
        <v>213</v>
      </c>
      <c r="C14" s="43">
        <v>15927</v>
      </c>
      <c r="D14" s="80">
        <f t="shared" si="1"/>
        <v>4164</v>
      </c>
      <c r="E14" s="43">
        <v>20091</v>
      </c>
      <c r="F14" s="91">
        <v>13198.3</v>
      </c>
      <c r="G14" s="88">
        <f t="shared" si="0"/>
        <v>65.69259867602409</v>
      </c>
    </row>
    <row r="15" spans="1:14" ht="26.25" thickBot="1" x14ac:dyDescent="0.3">
      <c r="A15" s="128">
        <v>3114</v>
      </c>
      <c r="B15" s="129" t="s">
        <v>214</v>
      </c>
      <c r="C15" s="43">
        <v>398168</v>
      </c>
      <c r="D15" s="80">
        <f t="shared" si="1"/>
        <v>29436</v>
      </c>
      <c r="E15" s="43">
        <v>427604</v>
      </c>
      <c r="F15" s="91">
        <v>212278.23</v>
      </c>
      <c r="G15" s="88">
        <f t="shared" si="0"/>
        <v>49.643649264272554</v>
      </c>
    </row>
    <row r="16" spans="1:14" ht="26.25" thickBot="1" x14ac:dyDescent="0.3">
      <c r="A16" s="69">
        <v>312</v>
      </c>
      <c r="B16" s="70" t="s">
        <v>7</v>
      </c>
      <c r="C16" s="43">
        <v>89011</v>
      </c>
      <c r="D16" s="80">
        <f>E16-C16</f>
        <v>7421</v>
      </c>
      <c r="E16" s="43">
        <v>96432</v>
      </c>
      <c r="F16" s="91">
        <v>57196.94</v>
      </c>
      <c r="G16" s="88">
        <f t="shared" si="0"/>
        <v>59.313236270117805</v>
      </c>
    </row>
    <row r="17" spans="1:7" ht="26.25" thickBot="1" x14ac:dyDescent="0.3">
      <c r="A17" s="128">
        <v>3121</v>
      </c>
      <c r="B17" s="129" t="s">
        <v>7</v>
      </c>
      <c r="C17" s="43">
        <v>89011</v>
      </c>
      <c r="D17" s="80">
        <v>7421</v>
      </c>
      <c r="E17" s="43">
        <v>96432</v>
      </c>
      <c r="F17" s="91">
        <v>57196.94</v>
      </c>
      <c r="G17" s="88">
        <f>(F17/E17)*100</f>
        <v>59.313236270117805</v>
      </c>
    </row>
    <row r="18" spans="1:7" ht="15.75" thickBot="1" x14ac:dyDescent="0.3">
      <c r="A18" s="69">
        <v>313</v>
      </c>
      <c r="B18" s="70" t="s">
        <v>8</v>
      </c>
      <c r="C18" s="43">
        <v>354370</v>
      </c>
      <c r="D18" s="80">
        <f>E18-C18</f>
        <v>25964</v>
      </c>
      <c r="E18" s="43">
        <v>380334</v>
      </c>
      <c r="F18" s="91">
        <v>162869.01999999999</v>
      </c>
      <c r="G18" s="88">
        <f t="shared" si="0"/>
        <v>42.822629583471368</v>
      </c>
    </row>
    <row r="19" spans="1:7" ht="26.25" thickBot="1" x14ac:dyDescent="0.3">
      <c r="A19" s="128">
        <v>3132</v>
      </c>
      <c r="B19" s="129" t="s">
        <v>216</v>
      </c>
      <c r="C19" s="43">
        <v>354370</v>
      </c>
      <c r="D19" s="80">
        <v>25964</v>
      </c>
      <c r="E19" s="43">
        <v>380334</v>
      </c>
      <c r="F19" s="91">
        <v>162869.01999999999</v>
      </c>
      <c r="G19" s="88">
        <f t="shared" si="0"/>
        <v>42.822629583471368</v>
      </c>
    </row>
    <row r="20" spans="1:7" ht="26.25" thickBot="1" x14ac:dyDescent="0.3">
      <c r="A20" s="4">
        <v>321</v>
      </c>
      <c r="B20" s="5" t="s">
        <v>19</v>
      </c>
      <c r="C20" s="8">
        <v>115468</v>
      </c>
      <c r="D20" s="80">
        <f>E20-C20</f>
        <v>2822</v>
      </c>
      <c r="E20" s="8">
        <v>118290</v>
      </c>
      <c r="F20" s="92">
        <v>58554.2</v>
      </c>
      <c r="G20" s="88">
        <f t="shared" si="0"/>
        <v>49.5005494969989</v>
      </c>
    </row>
    <row r="21" spans="1:7" ht="15.75" thickBot="1" x14ac:dyDescent="0.3">
      <c r="A21" s="105">
        <v>3211</v>
      </c>
      <c r="B21" s="2" t="s">
        <v>217</v>
      </c>
      <c r="C21" s="8">
        <v>54416</v>
      </c>
      <c r="D21" s="80">
        <f>E21-C21</f>
        <v>0</v>
      </c>
      <c r="E21" s="8">
        <v>54416</v>
      </c>
      <c r="F21" s="92">
        <v>27368.99</v>
      </c>
      <c r="G21" s="88">
        <f t="shared" si="0"/>
        <v>50.295850485151426</v>
      </c>
    </row>
    <row r="22" spans="1:7" ht="26.25" thickBot="1" x14ac:dyDescent="0.3">
      <c r="A22" s="105">
        <v>3212</v>
      </c>
      <c r="B22" s="2" t="s">
        <v>218</v>
      </c>
      <c r="C22" s="8">
        <v>59725</v>
      </c>
      <c r="D22" s="80">
        <f>E22-C22</f>
        <v>2816</v>
      </c>
      <c r="E22" s="8">
        <v>62541</v>
      </c>
      <c r="F22" s="92">
        <v>30119.31</v>
      </c>
      <c r="G22" s="88">
        <f t="shared" si="0"/>
        <v>48.159303496906034</v>
      </c>
    </row>
    <row r="23" spans="1:7" ht="26.25" thickBot="1" x14ac:dyDescent="0.3">
      <c r="A23" s="105">
        <v>3213</v>
      </c>
      <c r="B23" s="2" t="s">
        <v>219</v>
      </c>
      <c r="C23" s="8">
        <v>1327</v>
      </c>
      <c r="D23" s="80">
        <f>E23-C23</f>
        <v>6</v>
      </c>
      <c r="E23" s="8">
        <v>1333</v>
      </c>
      <c r="F23" s="92">
        <v>1065.9000000000001</v>
      </c>
      <c r="G23" s="88">
        <f t="shared" si="0"/>
        <v>79.962490622655665</v>
      </c>
    </row>
    <row r="24" spans="1:7" ht="26.25" thickBot="1" x14ac:dyDescent="0.3">
      <c r="A24" s="4">
        <v>322</v>
      </c>
      <c r="B24" s="5" t="s">
        <v>10</v>
      </c>
      <c r="C24" s="8">
        <v>411706</v>
      </c>
      <c r="D24" s="80">
        <v>0</v>
      </c>
      <c r="E24" s="8">
        <v>411706</v>
      </c>
      <c r="F24" s="92">
        <v>141636.34</v>
      </c>
      <c r="G24" s="88">
        <f t="shared" si="0"/>
        <v>34.402301642434161</v>
      </c>
    </row>
    <row r="25" spans="1:7" ht="26.25" thickBot="1" x14ac:dyDescent="0.3">
      <c r="A25" s="105">
        <v>3221</v>
      </c>
      <c r="B25" s="2" t="s">
        <v>19</v>
      </c>
      <c r="C25" s="8">
        <v>26545</v>
      </c>
      <c r="D25" s="80">
        <v>0</v>
      </c>
      <c r="E25" s="8">
        <v>26545</v>
      </c>
      <c r="F25" s="92">
        <v>9475.89</v>
      </c>
      <c r="G25" s="88">
        <f t="shared" si="0"/>
        <v>35.69745714823884</v>
      </c>
    </row>
    <row r="26" spans="1:7" ht="15.75" thickBot="1" x14ac:dyDescent="0.3">
      <c r="A26" s="105">
        <v>3222</v>
      </c>
      <c r="B26" s="2" t="s">
        <v>220</v>
      </c>
      <c r="C26" s="8">
        <v>112814</v>
      </c>
      <c r="D26" s="80">
        <v>0</v>
      </c>
      <c r="E26" s="8">
        <v>112814</v>
      </c>
      <c r="F26" s="92">
        <v>39480.720000000001</v>
      </c>
      <c r="G26" s="88">
        <f t="shared" si="0"/>
        <v>34.996294786108109</v>
      </c>
    </row>
    <row r="27" spans="1:7" ht="15.75" thickBot="1" x14ac:dyDescent="0.3">
      <c r="A27" s="105">
        <v>3223</v>
      </c>
      <c r="B27" s="2" t="s">
        <v>222</v>
      </c>
      <c r="C27" s="8">
        <v>252173</v>
      </c>
      <c r="D27" s="80">
        <v>0</v>
      </c>
      <c r="E27" s="8">
        <v>252173</v>
      </c>
      <c r="F27" s="92">
        <v>70021.66</v>
      </c>
      <c r="G27" s="88">
        <f>(F27/E27)*100</f>
        <v>27.767310536814016</v>
      </c>
    </row>
    <row r="28" spans="1:7" ht="26.25" thickBot="1" x14ac:dyDescent="0.3">
      <c r="A28" s="105">
        <v>3224</v>
      </c>
      <c r="B28" s="2" t="s">
        <v>223</v>
      </c>
      <c r="C28" s="8">
        <v>13272</v>
      </c>
      <c r="D28" s="80">
        <v>0</v>
      </c>
      <c r="E28" s="8">
        <v>13272</v>
      </c>
      <c r="F28" s="92">
        <v>16694.8</v>
      </c>
      <c r="G28" s="68">
        <f t="shared" si="0"/>
        <v>125.78963230861963</v>
      </c>
    </row>
    <row r="29" spans="1:7" ht="15.75" thickBot="1" x14ac:dyDescent="0.3">
      <c r="A29" s="105">
        <v>3225</v>
      </c>
      <c r="B29" s="2" t="s">
        <v>224</v>
      </c>
      <c r="C29" s="8">
        <v>2920</v>
      </c>
      <c r="D29" s="80">
        <v>0</v>
      </c>
      <c r="E29" s="8">
        <v>2920</v>
      </c>
      <c r="F29" s="92">
        <v>5737.59</v>
      </c>
      <c r="G29" s="68">
        <f t="shared" si="0"/>
        <v>196.4928082191781</v>
      </c>
    </row>
    <row r="30" spans="1:7" ht="26.25" thickBot="1" x14ac:dyDescent="0.3">
      <c r="A30" s="105">
        <v>3227</v>
      </c>
      <c r="B30" s="2" t="s">
        <v>221</v>
      </c>
      <c r="C30" s="8">
        <v>3982</v>
      </c>
      <c r="D30" s="80">
        <v>0</v>
      </c>
      <c r="E30" s="8">
        <v>3982</v>
      </c>
      <c r="F30" s="92">
        <v>225.68</v>
      </c>
      <c r="G30" s="88">
        <f t="shared" si="0"/>
        <v>5.6675037669512811</v>
      </c>
    </row>
    <row r="31" spans="1:7" ht="15.75" thickBot="1" x14ac:dyDescent="0.3">
      <c r="A31" s="4">
        <v>323</v>
      </c>
      <c r="B31" s="5" t="s">
        <v>11</v>
      </c>
      <c r="C31" s="8">
        <v>131927</v>
      </c>
      <c r="D31" s="80">
        <f>E31-C31</f>
        <v>3555</v>
      </c>
      <c r="E31" s="8">
        <v>135482</v>
      </c>
      <c r="F31" s="92">
        <v>54928.65</v>
      </c>
      <c r="G31" s="88">
        <f t="shared" si="0"/>
        <v>40.543134881386457</v>
      </c>
    </row>
    <row r="32" spans="1:7" ht="26.25" thickBot="1" x14ac:dyDescent="0.3">
      <c r="A32" s="105">
        <v>3231</v>
      </c>
      <c r="B32" s="2" t="s">
        <v>225</v>
      </c>
      <c r="C32" s="8">
        <v>9290</v>
      </c>
      <c r="D32" s="80">
        <f t="shared" ref="D32:D39" si="2">E32-C32</f>
        <v>0</v>
      </c>
      <c r="E32" s="8">
        <v>9290</v>
      </c>
      <c r="F32" s="92">
        <v>3636.73</v>
      </c>
      <c r="G32" s="88">
        <f t="shared" si="0"/>
        <v>39.146716899892361</v>
      </c>
    </row>
    <row r="33" spans="1:7" ht="26.25" thickBot="1" x14ac:dyDescent="0.3">
      <c r="A33" s="105">
        <v>3232</v>
      </c>
      <c r="B33" s="2" t="s">
        <v>226</v>
      </c>
      <c r="C33" s="8">
        <v>26810</v>
      </c>
      <c r="D33" s="80">
        <f t="shared" si="2"/>
        <v>-265</v>
      </c>
      <c r="E33" s="8">
        <v>26545</v>
      </c>
      <c r="F33" s="92">
        <v>12135.44</v>
      </c>
      <c r="G33" s="88">
        <f t="shared" si="0"/>
        <v>45.716481446600113</v>
      </c>
    </row>
    <row r="34" spans="1:7" ht="26.25" thickBot="1" x14ac:dyDescent="0.3">
      <c r="A34" s="105">
        <v>3233</v>
      </c>
      <c r="B34" s="2" t="s">
        <v>227</v>
      </c>
      <c r="C34" s="8">
        <v>9291</v>
      </c>
      <c r="D34" s="80">
        <f t="shared" si="2"/>
        <v>-9024</v>
      </c>
      <c r="E34" s="8">
        <v>267</v>
      </c>
      <c r="F34" s="92">
        <v>0</v>
      </c>
      <c r="G34" s="88">
        <f t="shared" si="0"/>
        <v>0</v>
      </c>
    </row>
    <row r="35" spans="1:7" ht="15.75" thickBot="1" x14ac:dyDescent="0.3">
      <c r="A35" s="105">
        <v>3234</v>
      </c>
      <c r="B35" s="2" t="s">
        <v>228</v>
      </c>
      <c r="C35" s="8">
        <v>14599</v>
      </c>
      <c r="D35" s="80">
        <f t="shared" si="2"/>
        <v>9290</v>
      </c>
      <c r="E35" s="8">
        <v>23889</v>
      </c>
      <c r="F35" s="92">
        <v>7971.74</v>
      </c>
      <c r="G35" s="88">
        <f t="shared" si="0"/>
        <v>33.369919209678095</v>
      </c>
    </row>
    <row r="36" spans="1:7" ht="15.75" thickBot="1" x14ac:dyDescent="0.3">
      <c r="A36" s="105">
        <v>3235</v>
      </c>
      <c r="B36" s="2" t="s">
        <v>229</v>
      </c>
      <c r="C36" s="8">
        <v>53089</v>
      </c>
      <c r="D36" s="80">
        <f t="shared" si="2"/>
        <v>2628</v>
      </c>
      <c r="E36" s="8">
        <v>55717</v>
      </c>
      <c r="F36" s="92">
        <v>25910.74</v>
      </c>
      <c r="G36" s="88">
        <f t="shared" si="0"/>
        <v>46.504190821472804</v>
      </c>
    </row>
    <row r="37" spans="1:7" ht="26.25" thickBot="1" x14ac:dyDescent="0.3">
      <c r="A37" s="105">
        <v>3236</v>
      </c>
      <c r="B37" s="2" t="s">
        <v>230</v>
      </c>
      <c r="C37" s="8">
        <v>10618</v>
      </c>
      <c r="D37" s="80">
        <f t="shared" si="2"/>
        <v>926</v>
      </c>
      <c r="E37" s="8">
        <v>11544</v>
      </c>
      <c r="F37" s="92">
        <v>1257.67</v>
      </c>
      <c r="G37" s="88">
        <f t="shared" si="0"/>
        <v>10.894577269577271</v>
      </c>
    </row>
    <row r="38" spans="1:7" ht="26.25" thickBot="1" x14ac:dyDescent="0.3">
      <c r="A38" s="105">
        <v>3237</v>
      </c>
      <c r="B38" s="2" t="s">
        <v>231</v>
      </c>
      <c r="C38" s="8">
        <v>4246</v>
      </c>
      <c r="D38" s="80">
        <f t="shared" si="2"/>
        <v>0</v>
      </c>
      <c r="E38" s="8">
        <v>4246</v>
      </c>
      <c r="F38" s="92">
        <v>2326.67</v>
      </c>
      <c r="G38" s="88">
        <f t="shared" si="0"/>
        <v>54.796749882242111</v>
      </c>
    </row>
    <row r="39" spans="1:7" ht="26.25" thickBot="1" x14ac:dyDescent="0.3">
      <c r="A39" s="105">
        <v>3239</v>
      </c>
      <c r="B39" s="2" t="s">
        <v>233</v>
      </c>
      <c r="C39" s="8">
        <v>3982</v>
      </c>
      <c r="D39" s="80">
        <f t="shared" si="2"/>
        <v>0</v>
      </c>
      <c r="E39" s="8">
        <v>3982</v>
      </c>
      <c r="F39" s="92">
        <v>1689.66</v>
      </c>
      <c r="G39" s="88">
        <f t="shared" si="0"/>
        <v>42.432446007031643</v>
      </c>
    </row>
    <row r="40" spans="1:7" ht="15.75" thickBot="1" x14ac:dyDescent="0.3">
      <c r="A40" s="4">
        <v>329</v>
      </c>
      <c r="B40" s="5" t="s">
        <v>142</v>
      </c>
      <c r="C40" s="8">
        <v>3849</v>
      </c>
      <c r="D40" s="80">
        <f>E40-C40</f>
        <v>3</v>
      </c>
      <c r="E40" s="8">
        <v>3852</v>
      </c>
      <c r="F40" s="92">
        <v>918.57</v>
      </c>
      <c r="G40" s="88">
        <f t="shared" si="0"/>
        <v>23.846573208722745</v>
      </c>
    </row>
    <row r="41" spans="1:7" ht="39" thickBot="1" x14ac:dyDescent="0.3">
      <c r="A41" s="105">
        <v>3291</v>
      </c>
      <c r="B41" s="2" t="s">
        <v>234</v>
      </c>
      <c r="C41" s="8">
        <v>398</v>
      </c>
      <c r="D41" s="80">
        <f>E41-C41</f>
        <v>0</v>
      </c>
      <c r="E41" s="8">
        <v>398</v>
      </c>
      <c r="F41" s="92">
        <v>0</v>
      </c>
      <c r="G41" s="88">
        <f t="shared" si="0"/>
        <v>0</v>
      </c>
    </row>
    <row r="42" spans="1:7" ht="15.75" thickBot="1" x14ac:dyDescent="0.3">
      <c r="A42" s="105">
        <v>3292</v>
      </c>
      <c r="B42" s="2" t="s">
        <v>235</v>
      </c>
      <c r="C42" s="8">
        <v>2124</v>
      </c>
      <c r="D42" s="80">
        <f>E42-C42</f>
        <v>0</v>
      </c>
      <c r="E42" s="8">
        <v>2124</v>
      </c>
      <c r="F42" s="92">
        <v>725.27</v>
      </c>
      <c r="G42" s="88">
        <f t="shared" si="0"/>
        <v>34.146421845574388</v>
      </c>
    </row>
    <row r="43" spans="1:7" ht="26.25" thickBot="1" x14ac:dyDescent="0.3">
      <c r="A43" s="105">
        <v>3299</v>
      </c>
      <c r="B43" s="2" t="s">
        <v>236</v>
      </c>
      <c r="C43" s="8">
        <v>1327</v>
      </c>
      <c r="D43" s="80">
        <f>E43-C43</f>
        <v>3</v>
      </c>
      <c r="E43" s="8">
        <v>1330</v>
      </c>
      <c r="F43" s="92">
        <v>193.3</v>
      </c>
      <c r="G43" s="88">
        <f t="shared" si="0"/>
        <v>14.533834586466165</v>
      </c>
    </row>
    <row r="44" spans="1:7" ht="15.75" thickBot="1" x14ac:dyDescent="0.3">
      <c r="A44" s="4">
        <v>343</v>
      </c>
      <c r="B44" s="5" t="s">
        <v>13</v>
      </c>
      <c r="C44" s="8">
        <v>1393</v>
      </c>
      <c r="D44" s="81">
        <v>1</v>
      </c>
      <c r="E44" s="8">
        <v>1394</v>
      </c>
      <c r="F44" s="92">
        <v>440.7</v>
      </c>
      <c r="G44" s="88">
        <f t="shared" si="0"/>
        <v>31.614060258249644</v>
      </c>
    </row>
    <row r="45" spans="1:7" ht="26.25" thickBot="1" x14ac:dyDescent="0.3">
      <c r="A45" s="105">
        <v>3431</v>
      </c>
      <c r="B45" s="2" t="s">
        <v>237</v>
      </c>
      <c r="C45" s="8">
        <v>1329</v>
      </c>
      <c r="D45" s="81">
        <f>E45-C45</f>
        <v>0</v>
      </c>
      <c r="E45" s="8">
        <v>1329</v>
      </c>
      <c r="F45" s="92">
        <v>440.7</v>
      </c>
      <c r="G45" s="88">
        <f t="shared" si="0"/>
        <v>33.160270880361175</v>
      </c>
    </row>
    <row r="46" spans="1:7" ht="15.75" thickBot="1" x14ac:dyDescent="0.3">
      <c r="A46" s="105">
        <v>3433</v>
      </c>
      <c r="B46" s="2" t="s">
        <v>238</v>
      </c>
      <c r="C46" s="8">
        <v>66</v>
      </c>
      <c r="D46" s="81">
        <v>1</v>
      </c>
      <c r="E46" s="8">
        <v>65</v>
      </c>
      <c r="F46" s="92">
        <v>0</v>
      </c>
      <c r="G46" s="88">
        <f t="shared" si="0"/>
        <v>0</v>
      </c>
    </row>
    <row r="47" spans="1:7" ht="42.75" customHeight="1" thickBot="1" x14ac:dyDescent="0.3">
      <c r="A47" s="4">
        <v>372</v>
      </c>
      <c r="B47" s="6" t="s">
        <v>14</v>
      </c>
      <c r="C47" s="8">
        <v>46453</v>
      </c>
      <c r="D47" s="81">
        <f>E47-C47</f>
        <v>812</v>
      </c>
      <c r="E47" s="8">
        <v>47265</v>
      </c>
      <c r="F47" s="92">
        <v>18743.32</v>
      </c>
      <c r="G47" s="89">
        <f t="shared" si="0"/>
        <v>39.655812969427693</v>
      </c>
    </row>
    <row r="48" spans="1:7" ht="24.75" customHeight="1" thickBot="1" x14ac:dyDescent="0.3">
      <c r="A48" s="105">
        <v>3721</v>
      </c>
      <c r="B48" s="2" t="s">
        <v>239</v>
      </c>
      <c r="C48" s="8">
        <v>13272</v>
      </c>
      <c r="D48" s="81">
        <f t="shared" ref="D48:D49" si="3">E48-C48</f>
        <v>813</v>
      </c>
      <c r="E48" s="8">
        <v>14085</v>
      </c>
      <c r="F48" s="92">
        <v>5412.37</v>
      </c>
      <c r="G48" s="88">
        <f t="shared" si="0"/>
        <v>38.426482073127438</v>
      </c>
    </row>
    <row r="49" spans="1:9" ht="29.25" customHeight="1" thickBot="1" x14ac:dyDescent="0.3">
      <c r="A49" s="105">
        <v>3722</v>
      </c>
      <c r="B49" s="2" t="s">
        <v>240</v>
      </c>
      <c r="C49" s="8">
        <v>33181</v>
      </c>
      <c r="D49" s="81">
        <f t="shared" si="3"/>
        <v>-1</v>
      </c>
      <c r="E49" s="8">
        <v>33180</v>
      </c>
      <c r="F49" s="92">
        <v>13330.95</v>
      </c>
      <c r="G49" s="88">
        <f t="shared" si="0"/>
        <v>40.177667269439418</v>
      </c>
    </row>
    <row r="50" spans="1:9" ht="48.75" customHeight="1" x14ac:dyDescent="0.25">
      <c r="A50" s="21"/>
      <c r="B50" s="22"/>
      <c r="C50" s="23"/>
      <c r="D50" s="23"/>
      <c r="E50" s="24"/>
      <c r="F50" s="25"/>
      <c r="G50" s="90"/>
    </row>
    <row r="51" spans="1:9" x14ac:dyDescent="0.25">
      <c r="A51" s="26">
        <v>31</v>
      </c>
      <c r="B51" s="27" t="s">
        <v>24</v>
      </c>
      <c r="C51" s="157">
        <v>2595614</v>
      </c>
      <c r="D51" s="158">
        <f>E51-C51</f>
        <v>194536</v>
      </c>
      <c r="E51" s="159">
        <v>2790150</v>
      </c>
      <c r="F51" s="160">
        <v>1371008.49</v>
      </c>
      <c r="G51" s="161">
        <f>(F51/E51)*100</f>
        <v>49.137447449061881</v>
      </c>
    </row>
    <row r="52" spans="1:9" ht="77.25" customHeight="1" x14ac:dyDescent="0.25">
      <c r="A52" s="26" t="s">
        <v>26</v>
      </c>
      <c r="B52" s="27" t="s">
        <v>25</v>
      </c>
      <c r="C52" s="159">
        <v>710796</v>
      </c>
      <c r="D52" s="158">
        <f>E52-C52</f>
        <v>7190</v>
      </c>
      <c r="E52" s="159">
        <v>717986</v>
      </c>
      <c r="F52" s="160">
        <v>275221.78000000003</v>
      </c>
      <c r="G52" s="161">
        <f>(F52/E52)*100</f>
        <v>38.332471663792887</v>
      </c>
      <c r="H52" s="102"/>
      <c r="I52" s="102"/>
    </row>
    <row r="53" spans="1:9" x14ac:dyDescent="0.25">
      <c r="A53" s="26">
        <v>3</v>
      </c>
      <c r="B53" s="27" t="s">
        <v>31</v>
      </c>
      <c r="C53" s="157">
        <v>3306410</v>
      </c>
      <c r="D53" s="158">
        <f>E53-C53</f>
        <v>201726</v>
      </c>
      <c r="E53" s="159">
        <v>3508136</v>
      </c>
      <c r="F53" s="160">
        <v>1646230.27</v>
      </c>
      <c r="G53" s="161">
        <f>(F53/E53)*100</f>
        <v>46.926067575487387</v>
      </c>
      <c r="H53" s="87"/>
    </row>
    <row r="54" spans="1:9" ht="65.25" customHeight="1" x14ac:dyDescent="0.25">
      <c r="A54" s="214" t="s">
        <v>70</v>
      </c>
      <c r="B54" s="214"/>
      <c r="C54" s="214"/>
      <c r="D54" s="214"/>
      <c r="E54" s="214"/>
      <c r="F54" s="214"/>
      <c r="G54" s="214"/>
      <c r="H54" s="87"/>
    </row>
    <row r="55" spans="1:9" x14ac:dyDescent="0.25">
      <c r="A55" s="87"/>
      <c r="B55" s="93"/>
      <c r="C55" s="94"/>
      <c r="D55" s="94"/>
      <c r="E55" s="94"/>
      <c r="F55" s="94"/>
      <c r="G55" s="94"/>
      <c r="H55" s="98"/>
      <c r="I55" s="98"/>
    </row>
    <row r="56" spans="1:9" ht="15.75" thickBot="1" x14ac:dyDescent="0.3">
      <c r="A56" s="206" t="s">
        <v>241</v>
      </c>
      <c r="B56" s="206"/>
      <c r="C56" s="94"/>
      <c r="D56" s="94"/>
      <c r="E56" s="94"/>
      <c r="F56" s="94"/>
      <c r="G56" s="94"/>
      <c r="H56" s="98"/>
      <c r="I56" s="98"/>
    </row>
    <row r="57" spans="1:9" ht="38.25" customHeight="1" x14ac:dyDescent="0.25">
      <c r="A57" s="207" t="s">
        <v>0</v>
      </c>
      <c r="B57" s="216" t="s">
        <v>1</v>
      </c>
      <c r="C57" s="216" t="s">
        <v>2</v>
      </c>
      <c r="D57" s="216" t="s">
        <v>3</v>
      </c>
      <c r="E57" s="216" t="s">
        <v>4</v>
      </c>
      <c r="F57" s="207" t="s">
        <v>5</v>
      </c>
      <c r="G57" s="207" t="s">
        <v>215</v>
      </c>
      <c r="H57" s="37"/>
      <c r="I57" s="37"/>
    </row>
    <row r="58" spans="1:9" ht="15.75" thickBot="1" x14ac:dyDescent="0.3">
      <c r="A58" s="208"/>
      <c r="B58" s="217"/>
      <c r="C58" s="217"/>
      <c r="D58" s="217"/>
      <c r="E58" s="217"/>
      <c r="F58" s="208"/>
      <c r="G58" s="208"/>
    </row>
    <row r="59" spans="1:9" ht="15.75" thickBot="1" x14ac:dyDescent="0.3">
      <c r="A59" s="105">
        <v>1</v>
      </c>
      <c r="B59" s="2">
        <v>2</v>
      </c>
      <c r="C59" s="2">
        <v>4</v>
      </c>
      <c r="D59" s="2">
        <v>5</v>
      </c>
      <c r="E59" s="2">
        <v>6</v>
      </c>
      <c r="F59" s="2">
        <v>7</v>
      </c>
      <c r="G59" s="2">
        <v>8</v>
      </c>
    </row>
    <row r="60" spans="1:9" ht="39" thickBot="1" x14ac:dyDescent="0.3">
      <c r="A60" s="69">
        <v>671</v>
      </c>
      <c r="B60" s="70" t="s">
        <v>242</v>
      </c>
      <c r="C60" s="43">
        <v>3306410</v>
      </c>
      <c r="D60" s="80">
        <f>E60-C60</f>
        <v>201726</v>
      </c>
      <c r="E60" s="43">
        <v>3508136</v>
      </c>
      <c r="F60" s="91">
        <v>1627879.81</v>
      </c>
      <c r="G60" s="88">
        <f>(F60/E60)*100</f>
        <v>46.402984661940131</v>
      </c>
    </row>
    <row r="61" spans="1:9" x14ac:dyDescent="0.25">
      <c r="A61" s="136"/>
      <c r="B61" s="24"/>
      <c r="C61" s="24"/>
      <c r="D61" s="24"/>
      <c r="E61" s="24"/>
      <c r="F61" s="136"/>
      <c r="G61" s="136"/>
    </row>
    <row r="62" spans="1:9" ht="15" customHeight="1" x14ac:dyDescent="0.25">
      <c r="A62" s="87"/>
      <c r="B62" s="93"/>
      <c r="C62" s="94"/>
      <c r="D62" s="94"/>
      <c r="E62" s="94"/>
      <c r="F62" s="94"/>
      <c r="G62" s="94"/>
    </row>
    <row r="63" spans="1:9" x14ac:dyDescent="0.25">
      <c r="A63" s="198" t="s">
        <v>18</v>
      </c>
      <c r="B63" s="198"/>
      <c r="C63" s="98" t="s">
        <v>30</v>
      </c>
      <c r="D63" s="98"/>
      <c r="E63" s="98"/>
      <c r="F63" s="98"/>
      <c r="G63" s="98"/>
    </row>
    <row r="64" spans="1:9" x14ac:dyDescent="0.25">
      <c r="A64" s="74"/>
      <c r="B64" s="74"/>
      <c r="C64" s="37"/>
      <c r="D64" s="37"/>
      <c r="E64" s="37"/>
      <c r="F64" s="37"/>
      <c r="G64" s="37"/>
      <c r="H64" s="50"/>
      <c r="I64" s="29"/>
    </row>
    <row r="65" spans="1:9" ht="42" customHeight="1" thickBot="1" x14ac:dyDescent="0.3">
      <c r="A65" s="7"/>
      <c r="B65" s="7"/>
      <c r="C65" s="49"/>
      <c r="D65" s="49"/>
      <c r="E65" s="49"/>
      <c r="F65" s="49"/>
      <c r="G65" s="106" t="s">
        <v>16</v>
      </c>
      <c r="H65" s="99"/>
      <c r="I65" s="99"/>
    </row>
    <row r="66" spans="1:9" x14ac:dyDescent="0.25">
      <c r="A66" s="196" t="s">
        <v>0</v>
      </c>
      <c r="B66" s="203" t="s">
        <v>1</v>
      </c>
      <c r="C66" s="203" t="s">
        <v>2</v>
      </c>
      <c r="D66" s="203" t="s">
        <v>3</v>
      </c>
      <c r="E66" s="203" t="s">
        <v>4</v>
      </c>
      <c r="F66" s="196" t="s">
        <v>5</v>
      </c>
      <c r="G66" s="201" t="s">
        <v>78</v>
      </c>
      <c r="H66" s="99"/>
      <c r="I66" s="99"/>
    </row>
    <row r="67" spans="1:9" ht="15.75" thickBot="1" x14ac:dyDescent="0.3">
      <c r="A67" s="197"/>
      <c r="B67" s="204"/>
      <c r="C67" s="204"/>
      <c r="D67" s="204"/>
      <c r="E67" s="204"/>
      <c r="F67" s="197"/>
      <c r="G67" s="202"/>
      <c r="H67" s="104"/>
      <c r="I67" s="104"/>
    </row>
    <row r="68" spans="1:9" ht="33.75" customHeight="1" x14ac:dyDescent="0.25">
      <c r="A68" s="132">
        <v>1</v>
      </c>
      <c r="B68" s="133">
        <v>2</v>
      </c>
      <c r="C68" s="133">
        <v>3</v>
      </c>
      <c r="D68" s="133">
        <v>4</v>
      </c>
      <c r="E68" s="133">
        <v>5</v>
      </c>
      <c r="F68" s="133">
        <v>6</v>
      </c>
      <c r="G68" s="133">
        <v>7</v>
      </c>
      <c r="H68" s="7"/>
      <c r="I68" s="7"/>
    </row>
    <row r="69" spans="1:9" x14ac:dyDescent="0.25">
      <c r="A69" s="131">
        <v>422</v>
      </c>
      <c r="B69" s="131" t="s">
        <v>22</v>
      </c>
      <c r="C69" s="221"/>
      <c r="D69" s="221"/>
      <c r="E69" s="221"/>
      <c r="F69" s="134">
        <v>29586.25</v>
      </c>
      <c r="G69" s="135">
        <v>100</v>
      </c>
      <c r="H69" s="62"/>
      <c r="I69" s="62"/>
    </row>
    <row r="70" spans="1:9" ht="35.25" customHeight="1" x14ac:dyDescent="0.25">
      <c r="A70" s="131">
        <v>671</v>
      </c>
      <c r="B70" s="131" t="s">
        <v>22</v>
      </c>
      <c r="C70" s="221"/>
      <c r="D70" s="221"/>
      <c r="E70" s="221"/>
      <c r="F70" s="134">
        <v>13240</v>
      </c>
      <c r="G70" s="135">
        <v>100</v>
      </c>
      <c r="H70" s="101"/>
      <c r="I70" s="101"/>
    </row>
    <row r="71" spans="1:9" x14ac:dyDescent="0.25">
      <c r="A71" s="14"/>
      <c r="B71" s="14"/>
      <c r="C71" s="38"/>
      <c r="D71" s="39"/>
      <c r="E71" s="29"/>
      <c r="F71" s="29"/>
      <c r="G71" s="40"/>
      <c r="H71" s="9"/>
      <c r="I71" s="9"/>
    </row>
    <row r="72" spans="1:9" ht="30.75" customHeight="1" x14ac:dyDescent="0.25">
      <c r="A72" s="213" t="s">
        <v>209</v>
      </c>
      <c r="B72" s="213"/>
      <c r="C72" s="213"/>
      <c r="D72" s="213"/>
      <c r="E72" s="213"/>
      <c r="F72" s="213"/>
      <c r="G72" s="213"/>
      <c r="H72" s="220"/>
      <c r="I72" s="220"/>
    </row>
    <row r="73" spans="1:9" x14ac:dyDescent="0.25">
      <c r="A73" s="99"/>
      <c r="B73" s="99"/>
      <c r="C73" s="99"/>
      <c r="D73" s="99"/>
      <c r="E73" s="99"/>
      <c r="F73" s="99"/>
      <c r="G73" s="99"/>
    </row>
    <row r="74" spans="1:9" x14ac:dyDescent="0.25">
      <c r="A74" s="7"/>
      <c r="B74" s="7"/>
      <c r="C74" s="7"/>
      <c r="D74" s="7"/>
      <c r="E74" s="7"/>
      <c r="F74" s="7"/>
      <c r="G74" s="7"/>
    </row>
    <row r="75" spans="1:9" x14ac:dyDescent="0.25">
      <c r="A75" s="205" t="s">
        <v>17</v>
      </c>
      <c r="B75" s="205"/>
      <c r="C75" s="41" t="s">
        <v>20</v>
      </c>
      <c r="D75" s="42"/>
      <c r="E75" s="42"/>
      <c r="F75" s="42"/>
      <c r="G75" s="42"/>
    </row>
    <row r="76" spans="1:9" x14ac:dyDescent="0.25">
      <c r="A76" s="198" t="s">
        <v>18</v>
      </c>
      <c r="B76" s="198"/>
      <c r="C76" s="101" t="s">
        <v>21</v>
      </c>
      <c r="D76" s="101"/>
      <c r="E76" s="101"/>
      <c r="F76" s="101"/>
      <c r="G76" s="101"/>
    </row>
    <row r="77" spans="1:9" x14ac:dyDescent="0.25">
      <c r="A77" s="47"/>
      <c r="B77" s="47"/>
      <c r="C77" s="9"/>
      <c r="D77" s="9"/>
      <c r="E77" s="9"/>
      <c r="F77" s="9"/>
      <c r="G77" s="9"/>
    </row>
    <row r="78" spans="1:9" ht="15.75" thickBot="1" x14ac:dyDescent="0.3">
      <c r="A78" s="7"/>
      <c r="B78" s="7"/>
      <c r="C78" s="7"/>
      <c r="D78" s="7"/>
      <c r="E78" s="7"/>
      <c r="F78" s="7"/>
      <c r="G78" s="103" t="s">
        <v>16</v>
      </c>
    </row>
    <row r="79" spans="1:9" x14ac:dyDescent="0.25">
      <c r="A79" s="218" t="s">
        <v>0</v>
      </c>
      <c r="B79" s="199" t="s">
        <v>1</v>
      </c>
      <c r="C79" s="199" t="s">
        <v>2</v>
      </c>
      <c r="D79" s="199" t="s">
        <v>3</v>
      </c>
      <c r="E79" s="199" t="s">
        <v>4</v>
      </c>
      <c r="F79" s="218" t="s">
        <v>5</v>
      </c>
      <c r="G79" s="201" t="s">
        <v>78</v>
      </c>
    </row>
    <row r="80" spans="1:9" ht="15.75" thickBot="1" x14ac:dyDescent="0.3">
      <c r="A80" s="219"/>
      <c r="B80" s="200"/>
      <c r="C80" s="200"/>
      <c r="D80" s="200"/>
      <c r="E80" s="200"/>
      <c r="F80" s="219"/>
      <c r="G80" s="202"/>
    </row>
    <row r="81" spans="1:7" ht="15.75" thickBot="1" x14ac:dyDescent="0.3">
      <c r="A81" s="11">
        <v>1</v>
      </c>
      <c r="B81" s="10">
        <v>2</v>
      </c>
      <c r="C81" s="10">
        <v>3</v>
      </c>
      <c r="D81" s="10">
        <v>4</v>
      </c>
      <c r="E81" s="10">
        <v>5</v>
      </c>
      <c r="F81" s="10">
        <v>6</v>
      </c>
      <c r="G81" s="10">
        <v>7</v>
      </c>
    </row>
    <row r="82" spans="1:7" ht="15.75" thickBot="1" x14ac:dyDescent="0.3">
      <c r="A82" s="11" t="s">
        <v>71</v>
      </c>
      <c r="B82" s="10"/>
      <c r="C82" s="77">
        <v>33313</v>
      </c>
      <c r="D82" s="137">
        <f>E82-C82</f>
        <v>-10906</v>
      </c>
      <c r="E82" s="77">
        <v>22407</v>
      </c>
      <c r="F82" s="77"/>
      <c r="G82" s="82">
        <f t="shared" ref="G82:G115" si="4">(F82/E82)*100</f>
        <v>0</v>
      </c>
    </row>
    <row r="83" spans="1:7" ht="51.75" customHeight="1" thickBot="1" x14ac:dyDescent="0.3">
      <c r="A83" s="11" t="s">
        <v>72</v>
      </c>
      <c r="B83" s="10"/>
      <c r="C83" s="77">
        <v>-4406</v>
      </c>
      <c r="D83" s="137">
        <f t="shared" ref="D83:D119" si="5">E83-C83</f>
        <v>0</v>
      </c>
      <c r="E83" s="77">
        <v>-4406</v>
      </c>
      <c r="F83" s="77"/>
      <c r="G83" s="82">
        <f t="shared" si="4"/>
        <v>0</v>
      </c>
    </row>
    <row r="84" spans="1:7" ht="51.75" customHeight="1" thickBot="1" x14ac:dyDescent="0.3">
      <c r="A84" s="12">
        <v>661</v>
      </c>
      <c r="B84" s="13" t="s">
        <v>73</v>
      </c>
      <c r="C84" s="77">
        <v>111487</v>
      </c>
      <c r="D84" s="137">
        <f t="shared" si="5"/>
        <v>0</v>
      </c>
      <c r="E84" s="77">
        <v>111487</v>
      </c>
      <c r="F84" s="77">
        <v>48696.54</v>
      </c>
      <c r="G84" s="82">
        <f t="shared" si="4"/>
        <v>43.679119538600915</v>
      </c>
    </row>
    <row r="85" spans="1:7" ht="51.75" thickBot="1" x14ac:dyDescent="0.3">
      <c r="A85" s="12">
        <v>321</v>
      </c>
      <c r="B85" s="13" t="s">
        <v>9</v>
      </c>
      <c r="C85" s="77">
        <v>8362</v>
      </c>
      <c r="D85" s="137">
        <f t="shared" si="5"/>
        <v>0</v>
      </c>
      <c r="E85" s="78">
        <v>8362</v>
      </c>
      <c r="F85" s="77">
        <v>358.81</v>
      </c>
      <c r="G85" s="82">
        <f t="shared" si="4"/>
        <v>4.2909591006936143</v>
      </c>
    </row>
    <row r="86" spans="1:7" ht="15.75" thickBot="1" x14ac:dyDescent="0.3">
      <c r="A86" s="11">
        <v>3211</v>
      </c>
      <c r="B86" s="10" t="s">
        <v>217</v>
      </c>
      <c r="C86" s="77">
        <v>3053</v>
      </c>
      <c r="D86" s="137">
        <f t="shared" si="5"/>
        <v>0</v>
      </c>
      <c r="E86" s="78">
        <v>3053</v>
      </c>
      <c r="F86" s="77">
        <v>50</v>
      </c>
      <c r="G86" s="82">
        <f t="shared" si="4"/>
        <v>1.6377333770062235</v>
      </c>
    </row>
    <row r="87" spans="1:7" ht="26.25" thickBot="1" x14ac:dyDescent="0.3">
      <c r="A87" s="11">
        <v>3213</v>
      </c>
      <c r="B87" s="10" t="s">
        <v>219</v>
      </c>
      <c r="C87" s="77">
        <v>5309</v>
      </c>
      <c r="D87" s="137">
        <v>0</v>
      </c>
      <c r="E87" s="78">
        <v>5309</v>
      </c>
      <c r="F87" s="77">
        <v>308.81</v>
      </c>
      <c r="G87" s="82">
        <f t="shared" si="4"/>
        <v>5.8167263138067433</v>
      </c>
    </row>
    <row r="88" spans="1:7" ht="26.25" thickBot="1" x14ac:dyDescent="0.3">
      <c r="A88" s="12">
        <v>322</v>
      </c>
      <c r="B88" s="13" t="s">
        <v>10</v>
      </c>
      <c r="C88" s="77">
        <v>58091</v>
      </c>
      <c r="D88" s="137">
        <f t="shared" si="5"/>
        <v>-10906</v>
      </c>
      <c r="E88" s="78">
        <v>47185</v>
      </c>
      <c r="F88" s="77">
        <v>9821.2099999999991</v>
      </c>
      <c r="G88" s="82">
        <f t="shared" si="4"/>
        <v>20.814263007311641</v>
      </c>
    </row>
    <row r="89" spans="1:7" ht="26.25" thickBot="1" x14ac:dyDescent="0.3">
      <c r="A89" s="105">
        <v>3221</v>
      </c>
      <c r="B89" s="2" t="s">
        <v>19</v>
      </c>
      <c r="C89" s="77">
        <v>2255</v>
      </c>
      <c r="D89" s="137">
        <f t="shared" si="5"/>
        <v>0</v>
      </c>
      <c r="E89" s="78">
        <v>2255</v>
      </c>
      <c r="F89" s="77">
        <v>72.14</v>
      </c>
      <c r="G89" s="82">
        <f t="shared" si="4"/>
        <v>3.1991130820399114</v>
      </c>
    </row>
    <row r="90" spans="1:7" ht="15.75" thickBot="1" x14ac:dyDescent="0.3">
      <c r="A90" s="105">
        <v>3222</v>
      </c>
      <c r="B90" s="2" t="s">
        <v>220</v>
      </c>
      <c r="C90" s="77">
        <v>7963</v>
      </c>
      <c r="D90" s="137">
        <f t="shared" si="5"/>
        <v>0</v>
      </c>
      <c r="E90" s="78">
        <v>7963</v>
      </c>
      <c r="F90" s="77">
        <v>1170.08</v>
      </c>
      <c r="G90" s="82">
        <f t="shared" si="4"/>
        <v>14.693959562978776</v>
      </c>
    </row>
    <row r="91" spans="1:7" ht="15.75" thickBot="1" x14ac:dyDescent="0.3">
      <c r="A91" s="105">
        <v>3223</v>
      </c>
      <c r="B91" s="2" t="s">
        <v>222</v>
      </c>
      <c r="C91" s="77">
        <v>33539</v>
      </c>
      <c r="D91" s="137">
        <f t="shared" si="5"/>
        <v>-10906</v>
      </c>
      <c r="E91" s="78">
        <v>22633</v>
      </c>
      <c r="F91" s="77">
        <v>6129.01</v>
      </c>
      <c r="G91" s="82">
        <f t="shared" si="4"/>
        <v>27.079971722705785</v>
      </c>
    </row>
    <row r="92" spans="1:7" ht="26.25" thickBot="1" x14ac:dyDescent="0.3">
      <c r="A92" s="105">
        <v>3224</v>
      </c>
      <c r="B92" s="2" t="s">
        <v>223</v>
      </c>
      <c r="C92" s="77">
        <v>11281</v>
      </c>
      <c r="D92" s="137">
        <f t="shared" si="5"/>
        <v>0</v>
      </c>
      <c r="E92" s="78">
        <v>11281</v>
      </c>
      <c r="F92" s="77">
        <v>2240.8000000000002</v>
      </c>
      <c r="G92" s="82">
        <f t="shared" si="4"/>
        <v>19.8634872794965</v>
      </c>
    </row>
    <row r="93" spans="1:7" ht="15.75" thickBot="1" x14ac:dyDescent="0.3">
      <c r="A93" s="105">
        <v>3225</v>
      </c>
      <c r="B93" s="2" t="s">
        <v>224</v>
      </c>
      <c r="C93" s="77">
        <v>2655</v>
      </c>
      <c r="D93" s="137">
        <f t="shared" si="5"/>
        <v>0</v>
      </c>
      <c r="E93" s="78">
        <v>2655</v>
      </c>
      <c r="F93" s="77">
        <v>209.18</v>
      </c>
      <c r="G93" s="82">
        <f t="shared" si="4"/>
        <v>7.878719397363465</v>
      </c>
    </row>
    <row r="94" spans="1:7" ht="26.25" thickBot="1" x14ac:dyDescent="0.3">
      <c r="A94" s="105">
        <v>3227</v>
      </c>
      <c r="B94" s="2" t="s">
        <v>221</v>
      </c>
      <c r="C94" s="77">
        <v>398</v>
      </c>
      <c r="D94" s="137">
        <f t="shared" si="5"/>
        <v>0</v>
      </c>
      <c r="E94" s="78">
        <v>398</v>
      </c>
      <c r="F94" s="77">
        <v>0</v>
      </c>
      <c r="G94" s="82">
        <f t="shared" si="4"/>
        <v>0</v>
      </c>
    </row>
    <row r="95" spans="1:7" ht="15.75" thickBot="1" x14ac:dyDescent="0.3">
      <c r="A95" s="12">
        <v>323</v>
      </c>
      <c r="B95" s="13" t="s">
        <v>11</v>
      </c>
      <c r="C95" s="77">
        <v>34681</v>
      </c>
      <c r="D95" s="137">
        <f t="shared" si="5"/>
        <v>0</v>
      </c>
      <c r="E95" s="78">
        <v>34681</v>
      </c>
      <c r="F95" s="77">
        <v>9524.67</v>
      </c>
      <c r="G95" s="82">
        <f t="shared" si="4"/>
        <v>27.463654450563705</v>
      </c>
    </row>
    <row r="96" spans="1:7" ht="26.25" thickBot="1" x14ac:dyDescent="0.3">
      <c r="A96" s="11">
        <v>3231</v>
      </c>
      <c r="B96" s="10" t="s">
        <v>225</v>
      </c>
      <c r="C96" s="77">
        <v>6105</v>
      </c>
      <c r="D96" s="137">
        <f t="shared" si="5"/>
        <v>0</v>
      </c>
      <c r="E96" s="78">
        <v>6105</v>
      </c>
      <c r="F96" s="77">
        <v>3225.38</v>
      </c>
      <c r="G96" s="82">
        <f t="shared" si="4"/>
        <v>52.831777231777231</v>
      </c>
    </row>
    <row r="97" spans="1:9" ht="26.25" thickBot="1" x14ac:dyDescent="0.3">
      <c r="A97" s="11">
        <v>3232</v>
      </c>
      <c r="B97" s="10" t="s">
        <v>226</v>
      </c>
      <c r="C97" s="77">
        <v>12609</v>
      </c>
      <c r="D97" s="137">
        <f t="shared" si="5"/>
        <v>0</v>
      </c>
      <c r="E97" s="78">
        <v>12609</v>
      </c>
      <c r="F97" s="77">
        <v>1284.8900000000001</v>
      </c>
      <c r="G97" s="82">
        <f t="shared" si="4"/>
        <v>10.1902609247363</v>
      </c>
    </row>
    <row r="98" spans="1:9" ht="26.25" thickBot="1" x14ac:dyDescent="0.3">
      <c r="A98" s="11">
        <v>3233</v>
      </c>
      <c r="B98" s="10" t="s">
        <v>227</v>
      </c>
      <c r="C98" s="77">
        <v>1327</v>
      </c>
      <c r="D98" s="137">
        <f t="shared" si="5"/>
        <v>0</v>
      </c>
      <c r="E98" s="78">
        <v>1327</v>
      </c>
      <c r="F98" s="77">
        <v>1937.31</v>
      </c>
      <c r="G98" s="82">
        <f t="shared" si="4"/>
        <v>145.99171062547097</v>
      </c>
    </row>
    <row r="99" spans="1:9" ht="15.75" thickBot="1" x14ac:dyDescent="0.3">
      <c r="A99" s="11">
        <v>3234</v>
      </c>
      <c r="B99" s="10" t="s">
        <v>228</v>
      </c>
      <c r="C99" s="77">
        <v>9556</v>
      </c>
      <c r="D99" s="137">
        <f t="shared" si="5"/>
        <v>0</v>
      </c>
      <c r="E99" s="78">
        <v>9556</v>
      </c>
      <c r="F99" s="77">
        <v>1143.6600000000001</v>
      </c>
      <c r="G99" s="82">
        <f t="shared" si="4"/>
        <v>11.967978233570532</v>
      </c>
    </row>
    <row r="100" spans="1:9" ht="26.25" thickBot="1" x14ac:dyDescent="0.3">
      <c r="A100" s="11">
        <v>3236</v>
      </c>
      <c r="B100" s="10" t="s">
        <v>230</v>
      </c>
      <c r="C100" s="77">
        <v>637</v>
      </c>
      <c r="D100" s="137">
        <f t="shared" si="5"/>
        <v>0</v>
      </c>
      <c r="E100" s="78">
        <v>637</v>
      </c>
      <c r="F100" s="77">
        <v>433.13</v>
      </c>
      <c r="G100" s="82">
        <f t="shared" si="4"/>
        <v>67.99529042386186</v>
      </c>
    </row>
    <row r="101" spans="1:9" ht="26.25" thickBot="1" x14ac:dyDescent="0.3">
      <c r="A101" s="11">
        <v>3237</v>
      </c>
      <c r="B101" s="10" t="s">
        <v>231</v>
      </c>
      <c r="C101" s="77">
        <v>1992</v>
      </c>
      <c r="D101" s="137">
        <f t="shared" si="5"/>
        <v>0</v>
      </c>
      <c r="E101" s="78">
        <v>1992</v>
      </c>
      <c r="F101" s="77">
        <v>118.72</v>
      </c>
      <c r="G101" s="82">
        <f t="shared" si="4"/>
        <v>5.9598393574297184</v>
      </c>
    </row>
    <row r="102" spans="1:9" ht="15.75" thickBot="1" x14ac:dyDescent="0.3">
      <c r="A102" s="11">
        <v>3238</v>
      </c>
      <c r="B102" s="10" t="s">
        <v>232</v>
      </c>
      <c r="C102" s="77">
        <v>1062</v>
      </c>
      <c r="D102" s="137">
        <f t="shared" si="5"/>
        <v>0</v>
      </c>
      <c r="E102" s="78">
        <v>1062</v>
      </c>
      <c r="F102" s="77">
        <v>1368.3</v>
      </c>
      <c r="G102" s="82">
        <f t="shared" si="4"/>
        <v>128.84180790960451</v>
      </c>
    </row>
    <row r="103" spans="1:9" ht="26.25" thickBot="1" x14ac:dyDescent="0.3">
      <c r="A103" s="11">
        <v>3239</v>
      </c>
      <c r="B103" s="10" t="s">
        <v>233</v>
      </c>
      <c r="C103" s="77">
        <v>1393</v>
      </c>
      <c r="D103" s="137">
        <f t="shared" si="5"/>
        <v>0</v>
      </c>
      <c r="E103" s="78">
        <v>1393</v>
      </c>
      <c r="F103" s="77">
        <v>13.28</v>
      </c>
      <c r="G103" s="82">
        <f t="shared" si="4"/>
        <v>0.95333811916726485</v>
      </c>
    </row>
    <row r="104" spans="1:9" ht="26.25" thickBot="1" x14ac:dyDescent="0.3">
      <c r="A104" s="12">
        <v>329</v>
      </c>
      <c r="B104" s="13" t="s">
        <v>12</v>
      </c>
      <c r="C104" s="77">
        <v>5681</v>
      </c>
      <c r="D104" s="137">
        <f t="shared" si="5"/>
        <v>0</v>
      </c>
      <c r="E104" s="78">
        <v>5681</v>
      </c>
      <c r="F104" s="77">
        <v>2112.39</v>
      </c>
      <c r="G104" s="82">
        <f t="shared" si="4"/>
        <v>37.183418412251363</v>
      </c>
      <c r="H104" s="20"/>
      <c r="I104" s="29"/>
    </row>
    <row r="105" spans="1:9" ht="15.75" thickBot="1" x14ac:dyDescent="0.3">
      <c r="A105" s="11">
        <v>3292</v>
      </c>
      <c r="B105" s="10" t="s">
        <v>243</v>
      </c>
      <c r="C105" s="77">
        <v>3318</v>
      </c>
      <c r="D105" s="137">
        <f t="shared" si="5"/>
        <v>0</v>
      </c>
      <c r="E105" s="78">
        <v>3318</v>
      </c>
      <c r="F105" s="77">
        <v>1751.65</v>
      </c>
      <c r="G105" s="64">
        <f t="shared" si="4"/>
        <v>52.792344786015676</v>
      </c>
      <c r="H105" s="20"/>
      <c r="I105" s="29"/>
    </row>
    <row r="106" spans="1:9" ht="15.75" thickBot="1" x14ac:dyDescent="0.3">
      <c r="A106" s="11">
        <v>3293</v>
      </c>
      <c r="B106" s="10" t="s">
        <v>244</v>
      </c>
      <c r="C106" s="77">
        <v>664</v>
      </c>
      <c r="D106" s="137">
        <f t="shared" si="5"/>
        <v>0</v>
      </c>
      <c r="E106" s="78">
        <v>664</v>
      </c>
      <c r="F106" s="77">
        <v>110.48</v>
      </c>
      <c r="G106" s="64">
        <f t="shared" si="4"/>
        <v>16.638554216867472</v>
      </c>
      <c r="H106" s="20"/>
      <c r="I106" s="29"/>
    </row>
    <row r="107" spans="1:9" ht="15.75" thickBot="1" x14ac:dyDescent="0.3">
      <c r="A107" s="11">
        <v>3294</v>
      </c>
      <c r="B107" s="10" t="s">
        <v>245</v>
      </c>
      <c r="C107" s="77">
        <v>969</v>
      </c>
      <c r="D107" s="137">
        <f t="shared" si="5"/>
        <v>0</v>
      </c>
      <c r="E107" s="78">
        <v>969</v>
      </c>
      <c r="F107" s="77">
        <v>35</v>
      </c>
      <c r="G107" s="82">
        <f t="shared" si="4"/>
        <v>3.611971104231166</v>
      </c>
      <c r="H107" s="20"/>
      <c r="I107" s="29"/>
    </row>
    <row r="108" spans="1:9" ht="26.25" thickBot="1" x14ac:dyDescent="0.3">
      <c r="A108" s="11">
        <v>3299</v>
      </c>
      <c r="B108" s="10" t="s">
        <v>12</v>
      </c>
      <c r="C108" s="77">
        <v>531</v>
      </c>
      <c r="D108" s="137">
        <f t="shared" si="5"/>
        <v>0</v>
      </c>
      <c r="E108" s="78">
        <v>531</v>
      </c>
      <c r="F108" s="77">
        <v>215.26</v>
      </c>
      <c r="G108" s="82">
        <f t="shared" si="4"/>
        <v>40.538606403013183</v>
      </c>
      <c r="H108" s="20"/>
      <c r="I108" s="29"/>
    </row>
    <row r="109" spans="1:9" ht="15" customHeight="1" thickBot="1" x14ac:dyDescent="0.3">
      <c r="A109" s="12">
        <v>343</v>
      </c>
      <c r="B109" s="13" t="s">
        <v>13</v>
      </c>
      <c r="C109" s="77">
        <v>1062</v>
      </c>
      <c r="D109" s="137">
        <f t="shared" si="5"/>
        <v>-1</v>
      </c>
      <c r="E109" s="78">
        <v>1061</v>
      </c>
      <c r="F109" s="77">
        <v>0</v>
      </c>
      <c r="G109" s="82">
        <f t="shared" si="4"/>
        <v>0</v>
      </c>
      <c r="H109" s="99"/>
      <c r="I109" s="99"/>
    </row>
    <row r="110" spans="1:9" ht="26.25" thickBot="1" x14ac:dyDescent="0.3">
      <c r="A110" s="11">
        <v>3431</v>
      </c>
      <c r="B110" s="2" t="s">
        <v>237</v>
      </c>
      <c r="C110" s="77">
        <v>665</v>
      </c>
      <c r="D110" s="137">
        <f t="shared" si="5"/>
        <v>-1</v>
      </c>
      <c r="E110" s="78">
        <v>664</v>
      </c>
      <c r="F110" s="77">
        <v>441.75</v>
      </c>
      <c r="G110" s="82">
        <f t="shared" si="4"/>
        <v>66.528614457831324</v>
      </c>
      <c r="H110" s="104"/>
      <c r="I110" s="104"/>
    </row>
    <row r="111" spans="1:9" ht="26.25" thickBot="1" x14ac:dyDescent="0.3">
      <c r="A111" s="11">
        <v>3434</v>
      </c>
      <c r="B111" s="10" t="s">
        <v>246</v>
      </c>
      <c r="C111" s="77">
        <v>398</v>
      </c>
      <c r="D111" s="137">
        <f t="shared" si="5"/>
        <v>0</v>
      </c>
      <c r="E111" s="78">
        <v>398</v>
      </c>
      <c r="F111" s="77">
        <v>0</v>
      </c>
      <c r="G111" s="82">
        <f t="shared" si="4"/>
        <v>0</v>
      </c>
      <c r="H111" s="104"/>
      <c r="I111" s="104"/>
    </row>
    <row r="112" spans="1:9" ht="15" customHeight="1" thickBot="1" x14ac:dyDescent="0.3">
      <c r="A112" s="36">
        <v>422</v>
      </c>
      <c r="B112" s="139" t="s">
        <v>22</v>
      </c>
      <c r="C112" s="142">
        <v>15397</v>
      </c>
      <c r="D112" s="143">
        <f t="shared" si="5"/>
        <v>0</v>
      </c>
      <c r="E112" s="144">
        <v>15397</v>
      </c>
      <c r="F112" s="142">
        <v>4643.25</v>
      </c>
      <c r="G112" s="138">
        <f t="shared" si="4"/>
        <v>30.1568487367669</v>
      </c>
      <c r="H112" s="45"/>
      <c r="I112" s="45"/>
    </row>
    <row r="113" spans="1:9" ht="15.75" thickBot="1" x14ac:dyDescent="0.3">
      <c r="A113" s="140">
        <v>4221</v>
      </c>
      <c r="B113" s="141" t="s">
        <v>248</v>
      </c>
      <c r="C113" s="142">
        <v>2654</v>
      </c>
      <c r="D113" s="143">
        <f t="shared" si="5"/>
        <v>0</v>
      </c>
      <c r="E113" s="144">
        <v>2654</v>
      </c>
      <c r="F113" s="142">
        <v>1925</v>
      </c>
      <c r="G113" s="84">
        <f t="shared" si="4"/>
        <v>72.532027128862097</v>
      </c>
      <c r="H113" s="104"/>
      <c r="I113" s="104"/>
    </row>
    <row r="114" spans="1:9" ht="15" customHeight="1" thickBot="1" x14ac:dyDescent="0.3">
      <c r="A114" s="140">
        <v>4227</v>
      </c>
      <c r="B114" s="141" t="s">
        <v>249</v>
      </c>
      <c r="C114" s="142">
        <v>3318</v>
      </c>
      <c r="D114" s="143">
        <f t="shared" si="5"/>
        <v>0</v>
      </c>
      <c r="E114" s="144">
        <v>3318</v>
      </c>
      <c r="F114" s="145">
        <v>2718.25</v>
      </c>
      <c r="G114" s="146">
        <f t="shared" si="4"/>
        <v>81.924352019288733</v>
      </c>
      <c r="H114" s="104"/>
      <c r="I114" s="104"/>
    </row>
    <row r="115" spans="1:9" ht="21.75" thickBot="1" x14ac:dyDescent="0.3">
      <c r="A115" s="130">
        <v>451</v>
      </c>
      <c r="B115" s="139" t="s">
        <v>247</v>
      </c>
      <c r="C115" s="142">
        <v>26545</v>
      </c>
      <c r="D115" s="143">
        <f t="shared" si="5"/>
        <v>0</v>
      </c>
      <c r="E115" s="144">
        <v>26545</v>
      </c>
      <c r="F115" s="142">
        <v>2491.25</v>
      </c>
      <c r="G115" s="84">
        <f t="shared" si="4"/>
        <v>9.385006592578641</v>
      </c>
      <c r="H115" s="104"/>
      <c r="I115" s="104"/>
    </row>
    <row r="116" spans="1:9" ht="23.25" thickBot="1" x14ac:dyDescent="0.3">
      <c r="A116" s="140">
        <v>4511</v>
      </c>
      <c r="B116" s="141" t="s">
        <v>250</v>
      </c>
      <c r="C116" s="142">
        <v>26545</v>
      </c>
      <c r="D116" s="143">
        <f t="shared" ref="D116" si="6">E116-C116</f>
        <v>0</v>
      </c>
      <c r="E116" s="144">
        <v>26545</v>
      </c>
      <c r="F116" s="142">
        <v>2491.25</v>
      </c>
      <c r="G116" s="147">
        <f t="shared" ref="G116" si="7">(F116/E116)*100</f>
        <v>9.385006592578641</v>
      </c>
      <c r="H116" s="104"/>
      <c r="I116" s="104"/>
    </row>
    <row r="117" spans="1:9" ht="15" customHeight="1" x14ac:dyDescent="0.25">
      <c r="A117" s="14"/>
      <c r="B117" s="15"/>
      <c r="C117" s="17"/>
      <c r="D117" s="18"/>
      <c r="E117" s="19" t="s">
        <v>175</v>
      </c>
      <c r="F117" s="17"/>
      <c r="G117" s="83"/>
      <c r="H117" s="7"/>
      <c r="I117" s="7"/>
    </row>
    <row r="118" spans="1:9" ht="15" customHeight="1" x14ac:dyDescent="0.25">
      <c r="A118" s="26">
        <v>3</v>
      </c>
      <c r="B118" s="27" t="s">
        <v>33</v>
      </c>
      <c r="C118" s="28">
        <v>107887</v>
      </c>
      <c r="D118" s="28">
        <f>E118-C118</f>
        <v>-10916</v>
      </c>
      <c r="E118" s="157">
        <v>96971</v>
      </c>
      <c r="F118" s="159">
        <v>22258.83</v>
      </c>
      <c r="G118" s="85">
        <f>(F118/E118)*100</f>
        <v>22.954109991646991</v>
      </c>
      <c r="H118" s="62"/>
      <c r="I118" s="62"/>
    </row>
    <row r="119" spans="1:9" ht="21" x14ac:dyDescent="0.25">
      <c r="A119" s="26">
        <v>4</v>
      </c>
      <c r="B119" s="27" t="s">
        <v>34</v>
      </c>
      <c r="C119" s="28">
        <v>32517</v>
      </c>
      <c r="D119" s="46">
        <f t="shared" si="5"/>
        <v>0</v>
      </c>
      <c r="E119" s="28">
        <v>32517</v>
      </c>
      <c r="F119" s="86">
        <v>7134.5</v>
      </c>
      <c r="G119" s="85">
        <f>(F119/E119)*100</f>
        <v>21.940830949964635</v>
      </c>
      <c r="H119" s="100"/>
      <c r="I119" s="100"/>
    </row>
    <row r="120" spans="1:9" ht="15" customHeight="1" x14ac:dyDescent="0.25">
      <c r="A120" s="14"/>
      <c r="B120" s="15"/>
      <c r="C120" s="16"/>
      <c r="D120" s="17"/>
      <c r="E120" s="17"/>
      <c r="F120" s="18"/>
      <c r="G120" s="19"/>
      <c r="H120" s="9"/>
      <c r="I120" s="9"/>
    </row>
    <row r="121" spans="1:9" ht="15" customHeight="1" x14ac:dyDescent="0.25">
      <c r="A121" s="14"/>
      <c r="B121" s="15"/>
      <c r="C121" s="16"/>
      <c r="D121" s="17"/>
      <c r="E121" s="17"/>
      <c r="F121" s="18"/>
      <c r="G121" s="19"/>
      <c r="H121" s="75"/>
      <c r="I121" s="75"/>
    </row>
    <row r="122" spans="1:9" ht="33.75" customHeight="1" x14ac:dyDescent="0.25">
      <c r="A122" s="213" t="s">
        <v>23</v>
      </c>
      <c r="B122" s="213"/>
      <c r="C122" s="213"/>
      <c r="D122" s="213"/>
      <c r="E122" s="99"/>
      <c r="F122" s="99"/>
      <c r="G122" s="99"/>
      <c r="H122" s="220"/>
      <c r="I122" s="220"/>
    </row>
    <row r="123" spans="1:9" x14ac:dyDescent="0.25">
      <c r="A123" s="45"/>
      <c r="B123" s="45"/>
      <c r="C123" s="45"/>
      <c r="D123" s="45"/>
      <c r="E123" s="45"/>
      <c r="F123" s="45"/>
      <c r="G123" s="45"/>
    </row>
    <row r="124" spans="1:9" x14ac:dyDescent="0.25">
      <c r="A124" s="7"/>
      <c r="B124" s="7"/>
      <c r="C124" s="7"/>
      <c r="D124" s="7"/>
      <c r="E124" s="7"/>
      <c r="F124" s="7"/>
      <c r="G124" s="7"/>
    </row>
    <row r="125" spans="1:9" ht="15" customHeight="1" x14ac:dyDescent="0.25">
      <c r="A125" s="205" t="s">
        <v>17</v>
      </c>
      <c r="B125" s="205"/>
      <c r="C125" s="41" t="s">
        <v>27</v>
      </c>
      <c r="D125" s="42"/>
      <c r="E125" s="42"/>
      <c r="F125" s="42"/>
      <c r="G125" s="42"/>
    </row>
    <row r="126" spans="1:9" ht="62.25" customHeight="1" x14ac:dyDescent="0.25">
      <c r="A126" s="198" t="s">
        <v>18</v>
      </c>
      <c r="B126" s="198"/>
      <c r="C126" s="100" t="s">
        <v>28</v>
      </c>
      <c r="D126" s="100"/>
      <c r="E126" s="100"/>
      <c r="F126" s="100"/>
      <c r="G126" s="100"/>
      <c r="H126" s="7"/>
      <c r="I126" s="7"/>
    </row>
    <row r="127" spans="1:9" x14ac:dyDescent="0.25">
      <c r="A127" s="47"/>
      <c r="B127" s="47"/>
      <c r="C127" s="9"/>
      <c r="D127" s="9"/>
      <c r="E127" s="9"/>
      <c r="F127" s="9"/>
      <c r="G127" s="9"/>
      <c r="H127" s="7"/>
      <c r="I127" s="7"/>
    </row>
    <row r="128" spans="1:9" ht="45.75" customHeight="1" thickBot="1" x14ac:dyDescent="0.3">
      <c r="A128" s="7"/>
      <c r="B128" s="7"/>
      <c r="C128" s="7"/>
      <c r="D128" s="7"/>
      <c r="E128" s="7"/>
      <c r="F128" s="7"/>
      <c r="G128" s="103" t="s">
        <v>177</v>
      </c>
      <c r="H128" s="7"/>
      <c r="I128" s="7"/>
    </row>
    <row r="129" spans="1:9" x14ac:dyDescent="0.25">
      <c r="A129" s="196" t="s">
        <v>0</v>
      </c>
      <c r="B129" s="203" t="s">
        <v>1</v>
      </c>
      <c r="C129" s="203" t="s">
        <v>2</v>
      </c>
      <c r="D129" s="203" t="s">
        <v>3</v>
      </c>
      <c r="E129" s="203" t="s">
        <v>4</v>
      </c>
      <c r="F129" s="196" t="s">
        <v>5</v>
      </c>
      <c r="G129" s="201" t="s">
        <v>78</v>
      </c>
    </row>
    <row r="130" spans="1:9" ht="15.75" thickBot="1" x14ac:dyDescent="0.3">
      <c r="A130" s="197"/>
      <c r="B130" s="204"/>
      <c r="C130" s="204"/>
      <c r="D130" s="204"/>
      <c r="E130" s="204"/>
      <c r="F130" s="197"/>
      <c r="G130" s="202"/>
      <c r="H130" s="62"/>
      <c r="I130" s="62"/>
    </row>
    <row r="131" spans="1:9" ht="42" customHeight="1" thickBot="1" x14ac:dyDescent="0.3">
      <c r="A131" s="31">
        <v>1</v>
      </c>
      <c r="B131" s="30">
        <v>2</v>
      </c>
      <c r="C131" s="30">
        <v>3</v>
      </c>
      <c r="D131" s="30">
        <v>4</v>
      </c>
      <c r="E131" s="30">
        <v>5</v>
      </c>
      <c r="F131" s="30">
        <v>6</v>
      </c>
      <c r="G131" s="30">
        <v>7</v>
      </c>
      <c r="H131" s="63"/>
      <c r="I131" s="63"/>
    </row>
    <row r="132" spans="1:9" ht="15.75" thickBot="1" x14ac:dyDescent="0.3">
      <c r="A132" s="32">
        <v>323</v>
      </c>
      <c r="B132" s="33" t="s">
        <v>11</v>
      </c>
      <c r="C132" s="34">
        <v>6238</v>
      </c>
      <c r="D132" s="30">
        <v>0</v>
      </c>
      <c r="E132" s="35">
        <v>6238</v>
      </c>
      <c r="F132" s="154">
        <v>1473.15</v>
      </c>
      <c r="G132" s="64">
        <f>(F132/E132)*100</f>
        <v>23.61574222507214</v>
      </c>
      <c r="H132" s="9"/>
      <c r="I132" s="9"/>
    </row>
    <row r="133" spans="1:9" ht="26.25" thickBot="1" x14ac:dyDescent="0.3">
      <c r="A133" s="32">
        <v>369</v>
      </c>
      <c r="B133" s="33" t="s">
        <v>178</v>
      </c>
      <c r="C133" s="34">
        <v>0</v>
      </c>
      <c r="D133" s="30">
        <v>0</v>
      </c>
      <c r="E133" s="35">
        <v>0</v>
      </c>
      <c r="F133" s="34">
        <v>864.2</v>
      </c>
      <c r="G133" s="97">
        <v>100</v>
      </c>
      <c r="H133" s="7"/>
    </row>
    <row r="134" spans="1:9" ht="15.75" thickBot="1" x14ac:dyDescent="0.3">
      <c r="A134" s="148">
        <v>3</v>
      </c>
      <c r="B134" s="149" t="s">
        <v>33</v>
      </c>
      <c r="C134" s="150">
        <f>SUM(C132:C133)</f>
        <v>6238</v>
      </c>
      <c r="D134" s="150">
        <f>SUM(D132:D133)</f>
        <v>0</v>
      </c>
      <c r="E134" s="150">
        <f>SUM(E132:E133)</f>
        <v>6238</v>
      </c>
      <c r="F134" s="151">
        <v>0</v>
      </c>
      <c r="G134" s="152">
        <f>(F134/E134)*100</f>
        <v>0</v>
      </c>
    </row>
    <row r="135" spans="1:9" ht="21.75" thickBot="1" x14ac:dyDescent="0.3">
      <c r="A135" s="148">
        <v>652</v>
      </c>
      <c r="B135" s="149" t="s">
        <v>251</v>
      </c>
      <c r="C135" s="150">
        <v>6238</v>
      </c>
      <c r="D135" s="150">
        <v>0</v>
      </c>
      <c r="E135" s="150">
        <v>6238</v>
      </c>
      <c r="F135" s="153">
        <v>3038.51</v>
      </c>
      <c r="G135" s="64">
        <f>(F135/E135)*100</f>
        <v>48.709682590573905</v>
      </c>
    </row>
    <row r="136" spans="1:9" ht="33.75" customHeight="1" x14ac:dyDescent="0.25">
      <c r="A136" s="48" t="s">
        <v>29</v>
      </c>
      <c r="B136" s="7"/>
      <c r="C136" s="7"/>
      <c r="D136" s="7"/>
      <c r="E136" s="7"/>
      <c r="F136" s="7"/>
      <c r="G136" s="7"/>
    </row>
    <row r="137" spans="1:9" ht="33" customHeight="1" x14ac:dyDescent="0.25">
      <c r="A137" s="7" t="s">
        <v>181</v>
      </c>
      <c r="B137" s="7"/>
      <c r="C137" s="7"/>
      <c r="D137" s="7"/>
      <c r="E137" s="7"/>
      <c r="F137" s="7"/>
      <c r="G137" s="7"/>
    </row>
    <row r="138" spans="1:9" x14ac:dyDescent="0.25">
      <c r="A138" s="7"/>
      <c r="B138" s="7"/>
      <c r="C138" s="7"/>
      <c r="D138" s="7"/>
      <c r="E138" s="7"/>
      <c r="F138" s="7"/>
      <c r="G138" s="7"/>
    </row>
    <row r="140" spans="1:9" ht="15" customHeight="1" x14ac:dyDescent="0.25">
      <c r="A140" s="60" t="s">
        <v>17</v>
      </c>
      <c r="B140" s="60"/>
      <c r="C140" s="61" t="s">
        <v>67</v>
      </c>
      <c r="D140" s="61"/>
      <c r="E140" s="61"/>
      <c r="F140" s="61"/>
      <c r="G140" s="61"/>
    </row>
    <row r="141" spans="1:9" ht="46.5" customHeight="1" x14ac:dyDescent="0.25">
      <c r="A141" s="198" t="s">
        <v>18</v>
      </c>
      <c r="B141" s="198"/>
      <c r="C141" s="194" t="s">
        <v>21</v>
      </c>
      <c r="D141" s="194"/>
      <c r="E141" s="194"/>
      <c r="F141" s="194"/>
      <c r="G141" s="194"/>
    </row>
    <row r="142" spans="1:9" x14ac:dyDescent="0.25">
      <c r="A142" s="47"/>
      <c r="B142" s="47"/>
      <c r="C142" s="9"/>
      <c r="D142" s="9"/>
      <c r="E142" s="9"/>
      <c r="F142" s="9"/>
      <c r="G142" s="9"/>
    </row>
    <row r="143" spans="1:9" ht="15.75" thickBot="1" x14ac:dyDescent="0.3">
      <c r="A143" s="7"/>
      <c r="B143" s="7"/>
      <c r="C143" s="7"/>
      <c r="D143" s="7"/>
      <c r="E143" s="7"/>
      <c r="F143" s="7"/>
      <c r="G143" s="103" t="s">
        <v>177</v>
      </c>
    </row>
    <row r="144" spans="1:9" x14ac:dyDescent="0.25">
      <c r="A144" s="196" t="s">
        <v>0</v>
      </c>
      <c r="B144" s="203" t="s">
        <v>1</v>
      </c>
      <c r="C144" s="203" t="s">
        <v>2</v>
      </c>
      <c r="D144" s="203" t="s">
        <v>3</v>
      </c>
      <c r="E144" s="203" t="s">
        <v>4</v>
      </c>
      <c r="F144" s="196" t="s">
        <v>5</v>
      </c>
      <c r="G144" s="201" t="s">
        <v>78</v>
      </c>
    </row>
    <row r="145" spans="1:9" ht="15.75" thickBot="1" x14ac:dyDescent="0.3">
      <c r="A145" s="197"/>
      <c r="B145" s="204"/>
      <c r="C145" s="204"/>
      <c r="D145" s="204"/>
      <c r="E145" s="204"/>
      <c r="F145" s="197"/>
      <c r="G145" s="202"/>
    </row>
    <row r="146" spans="1:9" ht="15.75" thickBot="1" x14ac:dyDescent="0.3">
      <c r="A146" s="31">
        <v>1</v>
      </c>
      <c r="B146" s="30">
        <v>2</v>
      </c>
      <c r="C146" s="30">
        <v>3</v>
      </c>
      <c r="D146" s="30">
        <v>4</v>
      </c>
      <c r="E146" s="30">
        <v>5</v>
      </c>
      <c r="F146" s="30">
        <v>6</v>
      </c>
      <c r="G146" s="30">
        <v>7</v>
      </c>
    </row>
    <row r="147" spans="1:9" ht="15.75" thickBot="1" x14ac:dyDescent="0.3">
      <c r="A147" s="31" t="s">
        <v>71</v>
      </c>
      <c r="B147" s="30"/>
      <c r="C147" s="34">
        <v>69783</v>
      </c>
      <c r="D147" s="79">
        <f>E147-C147</f>
        <v>-18320</v>
      </c>
      <c r="E147" s="34">
        <v>51463</v>
      </c>
      <c r="F147" s="30"/>
      <c r="G147" s="64">
        <f>(F147/E147)*100</f>
        <v>0</v>
      </c>
    </row>
    <row r="148" spans="1:9" ht="15" customHeight="1" thickBot="1" x14ac:dyDescent="0.3">
      <c r="A148" s="31" t="s">
        <v>72</v>
      </c>
      <c r="B148" s="30"/>
      <c r="C148" s="34"/>
      <c r="D148" s="79"/>
      <c r="E148" s="34"/>
      <c r="F148" s="30"/>
      <c r="G148" s="64"/>
      <c r="H148" s="7"/>
      <c r="I148" s="7"/>
    </row>
    <row r="149" spans="1:9" ht="56.25" customHeight="1" thickBot="1" x14ac:dyDescent="0.3">
      <c r="A149" s="32">
        <v>636</v>
      </c>
      <c r="B149" s="33" t="s">
        <v>68</v>
      </c>
      <c r="C149" s="34">
        <v>265</v>
      </c>
      <c r="D149" s="79">
        <v>0</v>
      </c>
      <c r="E149" s="34">
        <v>265</v>
      </c>
      <c r="F149" s="154">
        <v>0</v>
      </c>
      <c r="G149" s="64">
        <v>0</v>
      </c>
    </row>
    <row r="150" spans="1:9" ht="37.5" customHeight="1" thickBot="1" x14ac:dyDescent="0.3">
      <c r="A150" s="71">
        <v>639</v>
      </c>
      <c r="B150" s="72" t="s">
        <v>69</v>
      </c>
      <c r="C150" s="67">
        <v>1662</v>
      </c>
      <c r="D150" s="79">
        <f t="shared" ref="D150:D160" si="8">E150-C150</f>
        <v>1127</v>
      </c>
      <c r="E150" s="67">
        <v>2789</v>
      </c>
      <c r="F150" s="155">
        <v>2590.16</v>
      </c>
      <c r="G150" s="64">
        <f t="shared" ref="G150:G160" si="9">(F150/E150)*100</f>
        <v>92.870562925779836</v>
      </c>
    </row>
    <row r="151" spans="1:9" ht="37.5" customHeight="1" thickBot="1" x14ac:dyDescent="0.3">
      <c r="A151" s="65">
        <v>6391</v>
      </c>
      <c r="B151" s="66" t="s">
        <v>69</v>
      </c>
      <c r="C151" s="67">
        <v>1662</v>
      </c>
      <c r="D151" s="79">
        <f t="shared" si="8"/>
        <v>1127</v>
      </c>
      <c r="E151" s="67">
        <v>2789</v>
      </c>
      <c r="F151" s="155">
        <v>1994.38</v>
      </c>
      <c r="G151" s="64">
        <f t="shared" si="9"/>
        <v>71.508784510577271</v>
      </c>
    </row>
    <row r="152" spans="1:9" ht="51.75" thickBot="1" x14ac:dyDescent="0.3">
      <c r="A152" s="65">
        <v>6393</v>
      </c>
      <c r="B152" s="66" t="s">
        <v>254</v>
      </c>
      <c r="C152" s="67">
        <v>0</v>
      </c>
      <c r="D152" s="79">
        <f t="shared" si="8"/>
        <v>0</v>
      </c>
      <c r="E152" s="67">
        <v>0</v>
      </c>
      <c r="F152" s="155">
        <v>595.78</v>
      </c>
      <c r="G152" s="64">
        <v>0</v>
      </c>
    </row>
    <row r="153" spans="1:9" ht="17.25" customHeight="1" thickBot="1" x14ac:dyDescent="0.3">
      <c r="A153" s="69">
        <v>311</v>
      </c>
      <c r="B153" s="70" t="s">
        <v>6</v>
      </c>
      <c r="C153" s="67">
        <v>67012</v>
      </c>
      <c r="D153" s="79">
        <f>E153-C153</f>
        <v>-16884</v>
      </c>
      <c r="E153" s="67">
        <v>50128</v>
      </c>
      <c r="F153" s="155">
        <v>25414.67</v>
      </c>
      <c r="G153" s="64">
        <f t="shared" si="9"/>
        <v>50.699549154165332</v>
      </c>
    </row>
    <row r="154" spans="1:9" ht="17.25" customHeight="1" thickBot="1" x14ac:dyDescent="0.3">
      <c r="A154" s="128">
        <v>3111</v>
      </c>
      <c r="B154" s="129" t="s">
        <v>212</v>
      </c>
      <c r="C154" s="67">
        <v>57509</v>
      </c>
      <c r="D154" s="79">
        <f>E154-C154</f>
        <v>-11381</v>
      </c>
      <c r="E154" s="67">
        <v>46128</v>
      </c>
      <c r="F154" s="155">
        <v>25414.67</v>
      </c>
      <c r="G154" s="64">
        <f t="shared" si="9"/>
        <v>55.095972077696842</v>
      </c>
    </row>
    <row r="155" spans="1:9" ht="15.75" thickBot="1" x14ac:dyDescent="0.3">
      <c r="A155" s="69">
        <v>313</v>
      </c>
      <c r="B155" s="70" t="s">
        <v>8</v>
      </c>
      <c r="C155" s="67">
        <v>9503</v>
      </c>
      <c r="D155" s="79">
        <f t="shared" ref="D155:D156" si="10">E155-C155</f>
        <v>-5503</v>
      </c>
      <c r="E155" s="67">
        <v>4000</v>
      </c>
      <c r="F155" s="155">
        <v>2097.7600000000002</v>
      </c>
      <c r="G155" s="64">
        <f t="shared" si="9"/>
        <v>52.444000000000003</v>
      </c>
    </row>
    <row r="156" spans="1:9" ht="15.75" thickBot="1" x14ac:dyDescent="0.3">
      <c r="A156" s="128">
        <v>3132</v>
      </c>
      <c r="B156" s="129" t="s">
        <v>252</v>
      </c>
      <c r="C156" s="67">
        <v>9503</v>
      </c>
      <c r="D156" s="79">
        <f t="shared" si="10"/>
        <v>-5503</v>
      </c>
      <c r="E156" s="67">
        <v>4000</v>
      </c>
      <c r="F156" s="155">
        <v>2098</v>
      </c>
      <c r="G156" s="64">
        <f t="shared" si="9"/>
        <v>52.449999999999996</v>
      </c>
    </row>
    <row r="157" spans="1:9" ht="26.25" thickBot="1" x14ac:dyDescent="0.3">
      <c r="A157" s="71">
        <v>321</v>
      </c>
      <c r="B157" s="72" t="s">
        <v>253</v>
      </c>
      <c r="C157" s="67">
        <v>4698</v>
      </c>
      <c r="D157" s="79">
        <f t="shared" si="8"/>
        <v>-227</v>
      </c>
      <c r="E157" s="67">
        <v>4471</v>
      </c>
      <c r="F157" s="155">
        <v>823.58</v>
      </c>
      <c r="G157" s="64">
        <f t="shared" si="9"/>
        <v>18.420487586669651</v>
      </c>
    </row>
    <row r="158" spans="1:9" ht="26.25" thickBot="1" x14ac:dyDescent="0.3">
      <c r="A158" s="71">
        <v>322</v>
      </c>
      <c r="B158" s="72" t="s">
        <v>256</v>
      </c>
      <c r="C158" s="67">
        <v>0</v>
      </c>
      <c r="D158" s="79">
        <v>0</v>
      </c>
      <c r="E158" s="67">
        <v>0</v>
      </c>
      <c r="F158" s="155">
        <v>274.98</v>
      </c>
      <c r="G158" s="64">
        <v>0</v>
      </c>
    </row>
    <row r="159" spans="1:9" ht="15.75" thickBot="1" x14ac:dyDescent="0.3">
      <c r="A159" s="71">
        <v>323</v>
      </c>
      <c r="B159" s="72" t="s">
        <v>11</v>
      </c>
      <c r="C159" s="67">
        <v>1662</v>
      </c>
      <c r="D159" s="79">
        <f t="shared" si="8"/>
        <v>0</v>
      </c>
      <c r="E159" s="67">
        <v>1662</v>
      </c>
      <c r="F159" s="155">
        <v>1706.25</v>
      </c>
      <c r="G159" s="64">
        <f t="shared" si="9"/>
        <v>102.6624548736462</v>
      </c>
    </row>
    <row r="160" spans="1:9" ht="15.75" thickBot="1" x14ac:dyDescent="0.3">
      <c r="A160" s="32">
        <v>412</v>
      </c>
      <c r="B160" s="33" t="s">
        <v>176</v>
      </c>
      <c r="C160" s="34">
        <v>0</v>
      </c>
      <c r="D160" s="79">
        <f t="shared" si="8"/>
        <v>183</v>
      </c>
      <c r="E160" s="34">
        <v>183</v>
      </c>
      <c r="F160" s="154">
        <v>183</v>
      </c>
      <c r="G160" s="64">
        <f t="shared" si="9"/>
        <v>100</v>
      </c>
    </row>
    <row r="161" spans="1:7" x14ac:dyDescent="0.25">
      <c r="A161" s="48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3"/>
      <c r="G162" s="7"/>
    </row>
    <row r="163" spans="1:7" x14ac:dyDescent="0.25">
      <c r="A163" s="60" t="s">
        <v>17</v>
      </c>
      <c r="B163" s="60"/>
      <c r="C163" s="61" t="s">
        <v>74</v>
      </c>
      <c r="D163" s="61"/>
      <c r="E163" s="61"/>
      <c r="F163" s="61"/>
      <c r="G163" s="61"/>
    </row>
    <row r="164" spans="1:7" x14ac:dyDescent="0.25">
      <c r="A164" s="198" t="s">
        <v>18</v>
      </c>
      <c r="B164" s="198"/>
      <c r="C164" s="194" t="s">
        <v>21</v>
      </c>
      <c r="D164" s="194"/>
      <c r="E164" s="194"/>
      <c r="F164" s="194"/>
      <c r="G164" s="194"/>
    </row>
    <row r="165" spans="1:7" ht="15" customHeight="1" x14ac:dyDescent="0.25">
      <c r="A165" s="74"/>
      <c r="B165" s="74"/>
      <c r="C165" s="75"/>
      <c r="D165" s="75"/>
      <c r="E165" s="75"/>
      <c r="F165" s="75"/>
      <c r="G165" s="75"/>
    </row>
    <row r="166" spans="1:7" ht="15.75" thickBot="1" x14ac:dyDescent="0.3">
      <c r="A166" s="7"/>
      <c r="B166" s="7"/>
      <c r="C166" s="7"/>
      <c r="D166" s="7"/>
      <c r="E166" s="7"/>
      <c r="F166" s="7"/>
      <c r="G166" s="103" t="s">
        <v>177</v>
      </c>
    </row>
    <row r="167" spans="1:7" x14ac:dyDescent="0.25">
      <c r="A167" s="196" t="s">
        <v>0</v>
      </c>
      <c r="B167" s="203" t="s">
        <v>1</v>
      </c>
      <c r="C167" s="203" t="s">
        <v>2</v>
      </c>
      <c r="D167" s="203" t="s">
        <v>3</v>
      </c>
      <c r="E167" s="203" t="s">
        <v>4</v>
      </c>
      <c r="F167" s="196" t="s">
        <v>5</v>
      </c>
      <c r="G167" s="201" t="s">
        <v>78</v>
      </c>
    </row>
    <row r="168" spans="1:7" ht="37.5" customHeight="1" thickBot="1" x14ac:dyDescent="0.3">
      <c r="A168" s="197"/>
      <c r="B168" s="204"/>
      <c r="C168" s="204"/>
      <c r="D168" s="204"/>
      <c r="E168" s="204"/>
      <c r="F168" s="197"/>
      <c r="G168" s="202"/>
    </row>
    <row r="169" spans="1:7" ht="33" customHeight="1" thickBot="1" x14ac:dyDescent="0.3">
      <c r="A169" s="31">
        <v>1</v>
      </c>
      <c r="B169" s="30">
        <v>2</v>
      </c>
      <c r="C169" s="30">
        <v>3</v>
      </c>
      <c r="D169" s="30">
        <v>4</v>
      </c>
      <c r="E169" s="30">
        <v>5</v>
      </c>
      <c r="F169" s="30">
        <v>6</v>
      </c>
      <c r="G169" s="30">
        <v>7</v>
      </c>
    </row>
    <row r="170" spans="1:7" ht="15.75" thickBot="1" x14ac:dyDescent="0.3">
      <c r="A170" s="31" t="s">
        <v>71</v>
      </c>
      <c r="B170" s="30"/>
      <c r="C170" s="34">
        <v>6474</v>
      </c>
      <c r="D170" s="79">
        <v>0</v>
      </c>
      <c r="E170" s="34">
        <v>6474</v>
      </c>
      <c r="F170" s="30"/>
      <c r="G170" s="30">
        <f>(F170/E170)*100</f>
        <v>0</v>
      </c>
    </row>
    <row r="171" spans="1:7" ht="15.75" thickBot="1" x14ac:dyDescent="0.3">
      <c r="A171" s="31" t="s">
        <v>72</v>
      </c>
      <c r="B171" s="30"/>
      <c r="C171" s="34">
        <v>0</v>
      </c>
      <c r="D171" s="79">
        <v>0</v>
      </c>
      <c r="E171" s="30">
        <v>0</v>
      </c>
      <c r="F171" s="30"/>
      <c r="G171" s="30">
        <v>0</v>
      </c>
    </row>
    <row r="172" spans="1:7" ht="15.75" thickBot="1" x14ac:dyDescent="0.3">
      <c r="A172" s="71">
        <v>32</v>
      </c>
      <c r="B172" s="72" t="s">
        <v>77</v>
      </c>
      <c r="C172" s="67">
        <v>6000</v>
      </c>
      <c r="D172" s="79">
        <v>0</v>
      </c>
      <c r="E172" s="67">
        <v>6000</v>
      </c>
      <c r="F172" s="155">
        <v>2947.24</v>
      </c>
      <c r="G172" s="64">
        <f>(F172/E172)*100</f>
        <v>49.120666666666665</v>
      </c>
    </row>
    <row r="173" spans="1:7" ht="15" customHeight="1" thickBot="1" x14ac:dyDescent="0.3">
      <c r="A173" s="71">
        <v>34</v>
      </c>
      <c r="B173" s="72" t="s">
        <v>75</v>
      </c>
      <c r="C173" s="67">
        <v>474</v>
      </c>
      <c r="D173" s="79">
        <v>0</v>
      </c>
      <c r="E173" s="67">
        <v>474</v>
      </c>
      <c r="F173" s="155">
        <v>2.88</v>
      </c>
      <c r="G173" s="64">
        <f>(F173/E173)*100</f>
        <v>0.60759493670886078</v>
      </c>
    </row>
    <row r="174" spans="1:7" ht="15.75" thickBot="1" x14ac:dyDescent="0.3">
      <c r="A174" s="71">
        <v>6</v>
      </c>
      <c r="B174" s="72" t="s">
        <v>255</v>
      </c>
      <c r="C174" s="67">
        <v>0</v>
      </c>
      <c r="D174" s="79">
        <v>0</v>
      </c>
      <c r="E174" s="67">
        <v>0</v>
      </c>
      <c r="F174" s="155">
        <v>1.03</v>
      </c>
      <c r="G174" s="64">
        <v>0</v>
      </c>
    </row>
    <row r="175" spans="1:7" x14ac:dyDescent="0.25">
      <c r="A175" s="132"/>
    </row>
    <row r="176" spans="1:7" ht="15" customHeight="1" x14ac:dyDescent="0.25"/>
    <row r="177" spans="1:7" x14ac:dyDescent="0.25">
      <c r="A177" s="60" t="s">
        <v>17</v>
      </c>
      <c r="B177" s="60"/>
      <c r="C177" s="61" t="s">
        <v>76</v>
      </c>
      <c r="D177" s="61"/>
      <c r="E177" s="61"/>
      <c r="F177" s="61"/>
      <c r="G177" s="61"/>
    </row>
    <row r="178" spans="1:7" x14ac:dyDescent="0.25">
      <c r="A178" s="198" t="s">
        <v>18</v>
      </c>
      <c r="B178" s="198"/>
      <c r="C178" s="194" t="s">
        <v>21</v>
      </c>
      <c r="D178" s="194"/>
      <c r="E178" s="194"/>
      <c r="F178" s="194"/>
      <c r="G178" s="194"/>
    </row>
    <row r="179" spans="1:7" x14ac:dyDescent="0.25">
      <c r="A179" s="74"/>
      <c r="B179" s="74"/>
      <c r="C179" s="75"/>
      <c r="D179" s="75"/>
      <c r="E179" s="75"/>
      <c r="F179" s="75"/>
      <c r="G179" s="75"/>
    </row>
    <row r="180" spans="1:7" ht="15.75" thickBot="1" x14ac:dyDescent="0.3">
      <c r="A180" s="7"/>
      <c r="B180" s="7"/>
      <c r="C180" s="7"/>
      <c r="D180" s="7"/>
      <c r="E180" s="7"/>
      <c r="F180" s="7"/>
      <c r="G180" s="103" t="s">
        <v>177</v>
      </c>
    </row>
    <row r="181" spans="1:7" x14ac:dyDescent="0.25">
      <c r="A181" s="196" t="s">
        <v>0</v>
      </c>
      <c r="B181" s="203" t="s">
        <v>1</v>
      </c>
      <c r="C181" s="203" t="s">
        <v>2</v>
      </c>
      <c r="D181" s="203" t="s">
        <v>3</v>
      </c>
      <c r="E181" s="203" t="s">
        <v>4</v>
      </c>
      <c r="F181" s="196" t="s">
        <v>5</v>
      </c>
      <c r="G181" s="201" t="s">
        <v>78</v>
      </c>
    </row>
    <row r="182" spans="1:7" ht="15.75" thickBot="1" x14ac:dyDescent="0.3">
      <c r="A182" s="197"/>
      <c r="B182" s="204"/>
      <c r="C182" s="204"/>
      <c r="D182" s="204"/>
      <c r="E182" s="204"/>
      <c r="F182" s="197"/>
      <c r="G182" s="202"/>
    </row>
    <row r="183" spans="1:7" ht="15.75" thickBot="1" x14ac:dyDescent="0.3">
      <c r="A183" s="31">
        <v>1</v>
      </c>
      <c r="B183" s="30">
        <v>2</v>
      </c>
      <c r="C183" s="30">
        <v>3</v>
      </c>
      <c r="D183" s="30">
        <v>4</v>
      </c>
      <c r="E183" s="30">
        <v>5</v>
      </c>
      <c r="F183" s="30">
        <v>6</v>
      </c>
      <c r="G183" s="30">
        <v>7</v>
      </c>
    </row>
    <row r="184" spans="1:7" ht="15.75" thickBot="1" x14ac:dyDescent="0.3">
      <c r="A184" s="31" t="s">
        <v>71</v>
      </c>
      <c r="B184" s="30"/>
      <c r="C184" s="34"/>
      <c r="D184" s="79"/>
      <c r="E184" s="34"/>
      <c r="F184" s="30"/>
      <c r="G184" s="30"/>
    </row>
    <row r="185" spans="1:7" ht="15.75" thickBot="1" x14ac:dyDescent="0.3">
      <c r="A185" s="31" t="s">
        <v>72</v>
      </c>
      <c r="B185" s="30"/>
      <c r="C185" s="34"/>
      <c r="D185" s="79"/>
      <c r="E185" s="30"/>
      <c r="F185" s="30"/>
      <c r="G185" s="30"/>
    </row>
    <row r="186" spans="1:7" ht="15.75" thickBot="1" x14ac:dyDescent="0.3">
      <c r="A186" s="31">
        <v>663</v>
      </c>
      <c r="B186" s="30" t="s">
        <v>73</v>
      </c>
      <c r="C186" s="34">
        <v>0</v>
      </c>
      <c r="D186" s="156">
        <v>186.13</v>
      </c>
      <c r="E186" s="154">
        <v>186.13</v>
      </c>
      <c r="F186" s="154">
        <v>186.13</v>
      </c>
      <c r="G186" s="68">
        <v>100</v>
      </c>
    </row>
    <row r="187" spans="1:7" ht="15.75" thickBot="1" x14ac:dyDescent="0.3">
      <c r="A187" s="71">
        <v>322</v>
      </c>
      <c r="B187" s="72" t="s">
        <v>77</v>
      </c>
      <c r="C187" s="67">
        <v>0</v>
      </c>
      <c r="D187" s="156">
        <v>186.13</v>
      </c>
      <c r="E187" s="155">
        <v>186.13</v>
      </c>
      <c r="F187" s="155">
        <v>186.13</v>
      </c>
      <c r="G187" s="68">
        <v>100</v>
      </c>
    </row>
  </sheetData>
  <mergeCells count="82">
    <mergeCell ref="B57:B58"/>
    <mergeCell ref="C57:C58"/>
    <mergeCell ref="D57:D58"/>
    <mergeCell ref="E57:E58"/>
    <mergeCell ref="C66:C67"/>
    <mergeCell ref="D66:D67"/>
    <mergeCell ref="E66:E67"/>
    <mergeCell ref="F129:F130"/>
    <mergeCell ref="G129:G130"/>
    <mergeCell ref="F66:F67"/>
    <mergeCell ref="G66:G67"/>
    <mergeCell ref="H72:I72"/>
    <mergeCell ref="G79:G80"/>
    <mergeCell ref="E144:E145"/>
    <mergeCell ref="F144:F145"/>
    <mergeCell ref="G144:G145"/>
    <mergeCell ref="A126:B126"/>
    <mergeCell ref="F79:F80"/>
    <mergeCell ref="B79:B80"/>
    <mergeCell ref="C79:C80"/>
    <mergeCell ref="A122:D122"/>
    <mergeCell ref="A144:A145"/>
    <mergeCell ref="B144:B145"/>
    <mergeCell ref="C144:C145"/>
    <mergeCell ref="D144:D145"/>
    <mergeCell ref="C129:C130"/>
    <mergeCell ref="D129:D130"/>
    <mergeCell ref="A79:A80"/>
    <mergeCell ref="E129:E130"/>
    <mergeCell ref="A125:B125"/>
    <mergeCell ref="A7:B7"/>
    <mergeCell ref="C7:I7"/>
    <mergeCell ref="A9:A10"/>
    <mergeCell ref="B9:B10"/>
    <mergeCell ref="C9:C10"/>
    <mergeCell ref="D9:D10"/>
    <mergeCell ref="E9:E10"/>
    <mergeCell ref="F9:F10"/>
    <mergeCell ref="F57:F58"/>
    <mergeCell ref="G57:G58"/>
    <mergeCell ref="H122:I122"/>
    <mergeCell ref="C69:E69"/>
    <mergeCell ref="C70:E70"/>
    <mergeCell ref="A56:B56"/>
    <mergeCell ref="A57:A58"/>
    <mergeCell ref="A181:A182"/>
    <mergeCell ref="B181:B182"/>
    <mergeCell ref="C181:C182"/>
    <mergeCell ref="D181:D182"/>
    <mergeCell ref="E181:E182"/>
    <mergeCell ref="F181:F182"/>
    <mergeCell ref="G181:G182"/>
    <mergeCell ref="A1:B1"/>
    <mergeCell ref="C6:H6"/>
    <mergeCell ref="H2:L2"/>
    <mergeCell ref="A178:B178"/>
    <mergeCell ref="A164:B164"/>
    <mergeCell ref="A129:A130"/>
    <mergeCell ref="B129:B130"/>
    <mergeCell ref="A167:A168"/>
    <mergeCell ref="B167:B168"/>
    <mergeCell ref="C167:C168"/>
    <mergeCell ref="D167:D168"/>
    <mergeCell ref="E167:E168"/>
    <mergeCell ref="A72:G72"/>
    <mergeCell ref="A54:G54"/>
    <mergeCell ref="C164:G164"/>
    <mergeCell ref="C178:G178"/>
    <mergeCell ref="A2:G5"/>
    <mergeCell ref="C141:G141"/>
    <mergeCell ref="F167:F168"/>
    <mergeCell ref="A76:B76"/>
    <mergeCell ref="D79:D80"/>
    <mergeCell ref="E79:E80"/>
    <mergeCell ref="G167:G168"/>
    <mergeCell ref="A63:B63"/>
    <mergeCell ref="A66:A67"/>
    <mergeCell ref="B66:B67"/>
    <mergeCell ref="A75:B75"/>
    <mergeCell ref="A8:B8"/>
    <mergeCell ref="A141:B141"/>
    <mergeCell ref="G9:G10"/>
  </mergeCells>
  <pageMargins left="0.23622047244094491" right="0.23622047244094491" top="0.15748031496062992" bottom="0.15748031496062992" header="0.31496062992125984" footer="0.31496062992125984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D1" workbookViewId="0">
      <selection activeCell="B22" sqref="B22:F22"/>
    </sheetView>
  </sheetViews>
  <sheetFormatPr defaultRowHeight="15" x14ac:dyDescent="0.25"/>
  <cols>
    <col min="1" max="1" width="9.140625" style="7"/>
    <col min="2" max="2" width="17.42578125" style="7" customWidth="1"/>
    <col min="3" max="4" width="21.28515625" style="7" customWidth="1"/>
    <col min="5" max="5" width="18.42578125" style="7" customWidth="1"/>
    <col min="6" max="6" width="18.7109375" style="7" customWidth="1"/>
    <col min="7" max="7" width="12.28515625" style="7" customWidth="1"/>
    <col min="8" max="8" width="13.7109375" style="7" customWidth="1"/>
    <col min="9" max="9" width="12" style="7" customWidth="1"/>
    <col min="10" max="10" width="14.140625" style="7" customWidth="1"/>
    <col min="11" max="11" width="10" style="7" bestFit="1" customWidth="1"/>
    <col min="12" max="16384" width="9.140625" style="7"/>
  </cols>
  <sheetData>
    <row r="1" spans="1:12" ht="15" customHeight="1" x14ac:dyDescent="0.25">
      <c r="A1" s="223" t="s">
        <v>35</v>
      </c>
      <c r="B1" s="223"/>
      <c r="C1" s="223"/>
      <c r="D1" s="223"/>
      <c r="E1" s="223"/>
      <c r="F1" s="223"/>
      <c r="G1" s="223"/>
      <c r="H1" s="223"/>
      <c r="I1" s="52"/>
      <c r="J1" s="52"/>
      <c r="K1" s="52"/>
      <c r="L1" s="52"/>
    </row>
    <row r="2" spans="1:12" ht="15" customHeight="1" x14ac:dyDescent="0.25">
      <c r="A2" s="223" t="s">
        <v>182</v>
      </c>
      <c r="B2" s="223"/>
      <c r="C2" s="223"/>
      <c r="D2" s="223"/>
      <c r="E2" s="223"/>
      <c r="F2" s="223"/>
      <c r="G2" s="223"/>
      <c r="H2" s="223"/>
      <c r="I2" s="52"/>
      <c r="J2" s="52"/>
      <c r="K2" s="52"/>
      <c r="L2" s="52"/>
    </row>
    <row r="4" spans="1:12" x14ac:dyDescent="0.25">
      <c r="A4" s="212" t="s">
        <v>37</v>
      </c>
      <c r="B4" s="212"/>
      <c r="C4" s="212"/>
      <c r="D4" s="212"/>
      <c r="E4" s="212"/>
      <c r="F4" s="212"/>
      <c r="G4" s="212"/>
      <c r="H4" s="212"/>
      <c r="I4" s="44"/>
      <c r="J4" s="44"/>
      <c r="K4" s="44"/>
      <c r="L4" s="44"/>
    </row>
    <row r="5" spans="1:12" x14ac:dyDescent="0.25">
      <c r="C5" s="1"/>
      <c r="D5" s="1"/>
      <c r="E5" s="1"/>
      <c r="F5" s="1"/>
    </row>
    <row r="6" spans="1:12" x14ac:dyDescent="0.25">
      <c r="A6" s="215" t="s">
        <v>36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</row>
    <row r="8" spans="1:12" ht="36.75" x14ac:dyDescent="0.25">
      <c r="A8" s="53" t="s">
        <v>38</v>
      </c>
      <c r="B8" s="53" t="s">
        <v>39</v>
      </c>
      <c r="C8" s="53" t="s">
        <v>40</v>
      </c>
      <c r="D8" s="53" t="s">
        <v>66</v>
      </c>
      <c r="E8" s="53" t="s">
        <v>63</v>
      </c>
      <c r="F8" s="53" t="s">
        <v>62</v>
      </c>
      <c r="G8" s="54" t="s">
        <v>60</v>
      </c>
      <c r="H8" s="54" t="s">
        <v>61</v>
      </c>
      <c r="I8" s="54" t="s">
        <v>179</v>
      </c>
      <c r="J8" s="54" t="s">
        <v>180</v>
      </c>
      <c r="K8" s="54" t="s">
        <v>258</v>
      </c>
      <c r="L8" s="54" t="s">
        <v>257</v>
      </c>
    </row>
    <row r="9" spans="1:12" ht="24" x14ac:dyDescent="0.25">
      <c r="A9" s="55" t="s">
        <v>41</v>
      </c>
      <c r="B9" s="59" t="s">
        <v>42</v>
      </c>
      <c r="C9" s="56">
        <f>324013.94/7.5345</f>
        <v>43004.040082288142</v>
      </c>
      <c r="D9" s="56">
        <f>428155.05/7.5345</f>
        <v>56825.940672904631</v>
      </c>
      <c r="E9" s="56" t="s">
        <v>64</v>
      </c>
      <c r="F9" s="56">
        <f>428155.05/7.5345</f>
        <v>56825.940672904631</v>
      </c>
      <c r="G9" s="55"/>
      <c r="H9" s="56">
        <f>428155.05/7.5345</f>
        <v>56825.940672904631</v>
      </c>
      <c r="I9" s="56"/>
      <c r="J9" s="56"/>
      <c r="K9" s="56">
        <f>428155.05/7.5345</f>
        <v>56825.940672904631</v>
      </c>
      <c r="L9" s="56">
        <v>0</v>
      </c>
    </row>
    <row r="10" spans="1:12" ht="24" x14ac:dyDescent="0.25">
      <c r="A10" s="55" t="s">
        <v>51</v>
      </c>
      <c r="B10" s="59" t="s">
        <v>43</v>
      </c>
      <c r="C10" s="56">
        <f>1393655.04/7.5345</f>
        <v>184969.81086999801</v>
      </c>
      <c r="D10" s="56">
        <f>1291736.53/7.5345</f>
        <v>171442.89999336386</v>
      </c>
      <c r="E10" s="56" t="s">
        <v>64</v>
      </c>
      <c r="F10" s="57">
        <v>181154.9</v>
      </c>
      <c r="G10" s="55"/>
      <c r="I10" s="58">
        <v>157287.4</v>
      </c>
      <c r="J10" s="58">
        <v>25671.27</v>
      </c>
      <c r="K10" s="56">
        <f>1378502.09/7.5345</f>
        <v>182958.6687902316</v>
      </c>
      <c r="L10" s="56">
        <f>-86765.5599999998/7.5345</f>
        <v>-11515.768796867715</v>
      </c>
    </row>
    <row r="11" spans="1:12" ht="24" x14ac:dyDescent="0.25">
      <c r="A11" s="55" t="s">
        <v>52</v>
      </c>
      <c r="B11" s="59" t="s">
        <v>44</v>
      </c>
      <c r="C11" s="56">
        <f>276650/7.5345</f>
        <v>36717.764947906297</v>
      </c>
      <c r="D11" s="56">
        <f>274427.4/7.5345</f>
        <v>36422.775233923952</v>
      </c>
      <c r="E11" s="56" t="s">
        <v>79</v>
      </c>
      <c r="F11" s="56">
        <v>36422.775233923952</v>
      </c>
      <c r="H11" s="55"/>
      <c r="I11" s="55"/>
      <c r="J11" s="58">
        <v>41300.160000000003</v>
      </c>
      <c r="K11" s="56">
        <f>311175.27/7.5345</f>
        <v>41300.055743579534</v>
      </c>
      <c r="L11" s="56">
        <f>-36747.87/7.5345</f>
        <v>-4877.280509655584</v>
      </c>
    </row>
    <row r="12" spans="1:12" ht="36" x14ac:dyDescent="0.25">
      <c r="A12" s="55" t="s">
        <v>53</v>
      </c>
      <c r="B12" s="59" t="s">
        <v>45</v>
      </c>
      <c r="C12" s="56">
        <f>6000/7.5345</f>
        <v>796.33685048775624</v>
      </c>
      <c r="D12" s="56">
        <f>6000/7.5345</f>
        <v>796.33685048775624</v>
      </c>
      <c r="E12" s="56" t="s">
        <v>79</v>
      </c>
      <c r="F12" s="56">
        <v>795.7</v>
      </c>
      <c r="G12" s="55"/>
      <c r="H12" s="55"/>
      <c r="I12" s="127">
        <v>795.7</v>
      </c>
      <c r="J12" s="55"/>
      <c r="K12" s="56">
        <f>5995.2/7.5345</f>
        <v>795.69978100736603</v>
      </c>
      <c r="L12" s="56">
        <f>4.80000000000018/7.5345</f>
        <v>0.63706948039022893</v>
      </c>
    </row>
    <row r="13" spans="1:12" ht="24" x14ac:dyDescent="0.25">
      <c r="A13" s="55" t="s">
        <v>54</v>
      </c>
      <c r="B13" s="59" t="s">
        <v>46</v>
      </c>
      <c r="C13" s="56">
        <f>677450/7.5345</f>
        <v>89913.066560488413</v>
      </c>
      <c r="D13" s="56">
        <f>677450/7.5345</f>
        <v>89913.066560488413</v>
      </c>
      <c r="E13" s="56" t="s">
        <v>64</v>
      </c>
      <c r="F13" s="56">
        <f>444807.3/7.5345</f>
        <v>59036.074059327089</v>
      </c>
      <c r="G13" s="55"/>
      <c r="H13" s="55"/>
      <c r="I13" s="58">
        <f>19678.69*2</f>
        <v>39357.379999999997</v>
      </c>
      <c r="J13" s="58">
        <v>19678.689999999999</v>
      </c>
      <c r="K13" s="56">
        <f>444807.29/7.5345</f>
        <v>59036.072732099004</v>
      </c>
      <c r="L13" s="56">
        <f>232642.71/7.5345</f>
        <v>30876.993828389404</v>
      </c>
    </row>
    <row r="14" spans="1:12" x14ac:dyDescent="0.25">
      <c r="A14" s="55" t="s">
        <v>55</v>
      </c>
      <c r="B14" s="59" t="s">
        <v>47</v>
      </c>
      <c r="C14" s="56">
        <f>243750/7.5345</f>
        <v>32351.1845510651</v>
      </c>
      <c r="D14" s="56">
        <f>243750/7.5345</f>
        <v>32351.1845510651</v>
      </c>
      <c r="E14" s="56" t="s">
        <v>65</v>
      </c>
      <c r="F14" s="56">
        <f>178906.25/7.5345</f>
        <v>23744.939942929192</v>
      </c>
      <c r="G14" s="58">
        <f>20446.43/7.5345</f>
        <v>2713.7076116530625</v>
      </c>
      <c r="H14" s="58">
        <f>76674.11/7.5345</f>
        <v>10176.403211891964</v>
      </c>
      <c r="I14" s="58">
        <v>3850.08</v>
      </c>
      <c r="J14" s="58">
        <v>2255.7600000000002</v>
      </c>
      <c r="K14" s="56">
        <f>169960.87/7.5345</f>
        <v>22557.683986993165</v>
      </c>
      <c r="L14" s="56">
        <f>73789.13/7.5345</f>
        <v>9793.5005640719355</v>
      </c>
    </row>
    <row r="15" spans="1:12" ht="24" x14ac:dyDescent="0.25">
      <c r="A15" s="55" t="s">
        <v>56</v>
      </c>
      <c r="B15" s="59" t="s">
        <v>48</v>
      </c>
      <c r="C15" s="56">
        <f>30000/7.5345</f>
        <v>3981.6842524387812</v>
      </c>
      <c r="D15" s="56">
        <f>30000/7.5345</f>
        <v>3981.6842524387812</v>
      </c>
      <c r="E15" s="56" t="s">
        <v>79</v>
      </c>
      <c r="F15" s="56">
        <v>3875</v>
      </c>
      <c r="G15" s="55"/>
      <c r="H15" s="55"/>
      <c r="I15" s="55"/>
      <c r="J15" s="127">
        <v>3875</v>
      </c>
      <c r="K15" s="56">
        <f>29196.19/7.5345</f>
        <v>3875.0003318070208</v>
      </c>
      <c r="L15" s="56">
        <f>803.810000000001/7.5345</f>
        <v>106.68392063176069</v>
      </c>
    </row>
    <row r="16" spans="1:12" ht="24" x14ac:dyDescent="0.25">
      <c r="A16" s="55" t="s">
        <v>57</v>
      </c>
      <c r="B16" s="59" t="s">
        <v>49</v>
      </c>
      <c r="C16" s="56">
        <f>23900/7.5345</f>
        <v>3172.0751211095626</v>
      </c>
      <c r="D16" s="56">
        <f>23900/7.5345</f>
        <v>3172.0751211095626</v>
      </c>
      <c r="E16" s="56" t="s">
        <v>64</v>
      </c>
      <c r="F16" s="56">
        <f>20768.75/7.5345</f>
        <v>2756.4868272612648</v>
      </c>
      <c r="G16" s="55"/>
      <c r="H16" s="56">
        <f>20768.75/7.5345</f>
        <v>2756.4868272612648</v>
      </c>
      <c r="I16" s="56"/>
      <c r="J16" s="56"/>
      <c r="K16" s="56">
        <f>20768.75/7.5345</f>
        <v>2756.4868272612648</v>
      </c>
      <c r="L16" s="56">
        <f>3131.25/7.5345</f>
        <v>415.58829384829778</v>
      </c>
    </row>
    <row r="17" spans="1:12" x14ac:dyDescent="0.25">
      <c r="A17" s="55" t="s">
        <v>58</v>
      </c>
      <c r="B17" s="59" t="s">
        <v>50</v>
      </c>
      <c r="C17" s="56">
        <f>3500/7.5345</f>
        <v>464.52982945119118</v>
      </c>
      <c r="D17" s="56">
        <f>3500/7.5345</f>
        <v>464.52982945119118</v>
      </c>
      <c r="E17" s="56" t="s">
        <v>79</v>
      </c>
      <c r="F17" s="56">
        <v>1295</v>
      </c>
      <c r="G17" s="55"/>
      <c r="H17" s="55"/>
      <c r="I17" s="55"/>
      <c r="J17" s="127">
        <v>1295</v>
      </c>
      <c r="K17" s="56">
        <f>9757.18/7.5345</f>
        <v>1295.000331807021</v>
      </c>
      <c r="L17" s="56">
        <f>-6257.18/7.5345</f>
        <v>-830.47050235582981</v>
      </c>
    </row>
    <row r="18" spans="1:12" x14ac:dyDescent="0.25">
      <c r="A18" s="55"/>
      <c r="B18" s="59" t="s">
        <v>59</v>
      </c>
      <c r="C18" s="58">
        <f>SUM(C9:C17)</f>
        <v>395370.49306523323</v>
      </c>
      <c r="D18" s="58">
        <f>SUM(D9:D17)</f>
        <v>395370.49306523317</v>
      </c>
      <c r="E18" s="58"/>
      <c r="F18" s="58">
        <f>SUM(F9:F17)</f>
        <v>365906.81673634611</v>
      </c>
      <c r="G18" s="58">
        <f>SUM(G9:G17)</f>
        <v>2713.7076116530625</v>
      </c>
      <c r="H18" s="58">
        <f>SUM(H9:H17)</f>
        <v>69758.830712057868</v>
      </c>
      <c r="I18" s="58">
        <f>SUM(I9:I17)</f>
        <v>201290.56</v>
      </c>
      <c r="J18" s="58">
        <f>SUM(J9:J17)</f>
        <v>94075.88</v>
      </c>
      <c r="K18" s="58">
        <f>2798317.89/7.5345</f>
        <v>371400.60919769062</v>
      </c>
      <c r="L18" s="58">
        <f>180601.09/7.5345</f>
        <v>23969.883867542634</v>
      </c>
    </row>
    <row r="19" spans="1:12" x14ac:dyDescent="0.25">
      <c r="D19" s="51"/>
    </row>
    <row r="22" spans="1:12" ht="32.25" customHeight="1" x14ac:dyDescent="0.25">
      <c r="B22" s="222" t="s">
        <v>259</v>
      </c>
      <c r="C22" s="222"/>
      <c r="D22" s="222"/>
      <c r="E22" s="222"/>
      <c r="F22" s="222"/>
    </row>
  </sheetData>
  <mergeCells count="5">
    <mergeCell ref="A6:L6"/>
    <mergeCell ref="B22:F22"/>
    <mergeCell ref="A1:H1"/>
    <mergeCell ref="A2:H2"/>
    <mergeCell ref="A4:H4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Opći dio</vt:lpstr>
      <vt:lpstr>Prihodi ekonomska klasifikacija</vt:lpstr>
      <vt:lpstr>Posebni funkcijski </vt:lpstr>
      <vt:lpstr>Posebni projekt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Mlinarić</dc:creator>
  <cp:lastModifiedBy>Petra Mlinarić</cp:lastModifiedBy>
  <cp:lastPrinted>2023-07-18T08:31:35Z</cp:lastPrinted>
  <dcterms:created xsi:type="dcterms:W3CDTF">2022-03-10T10:09:45Z</dcterms:created>
  <dcterms:modified xsi:type="dcterms:W3CDTF">2023-07-18T08:41:51Z</dcterms:modified>
</cp:coreProperties>
</file>